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812" activeTab="5"/>
  </bookViews>
  <sheets>
    <sheet name="Data" sheetId="1" r:id="rId1"/>
    <sheet name="Fiscal Year 2015-2016" sheetId="19" r:id="rId2"/>
    <sheet name="Fall 2015" sheetId="22" r:id="rId3"/>
    <sheet name="Spring 2016" sheetId="23" r:id="rId4"/>
    <sheet name="Summer 2016" sheetId="25" r:id="rId5"/>
    <sheet name="Academic Year 2015-2016" sheetId="26" r:id="rId6"/>
  </sheets>
  <externalReferences>
    <externalReference r:id="rId7"/>
  </externalReferences>
  <definedNames>
    <definedName name="_xlnm.Print_Area" localSheetId="5">'Academic Year 2015-2016'!$A$1:$H$29</definedName>
    <definedName name="_xlnm.Print_Area" localSheetId="2">'Fall 2015'!$A$1:$H$29</definedName>
    <definedName name="_xlnm.Print_Area" localSheetId="1">'Fiscal Year 2015-2016'!$A$1:$H$48</definedName>
    <definedName name="_xlnm.Print_Area" localSheetId="3">'Spring 2016'!$A$1:$H$29</definedName>
    <definedName name="_xlnm.Print_Area" localSheetId="4">'Summer 2016'!$A$1:$H$29</definedName>
  </definedNames>
  <calcPr calcId="152511"/>
</workbook>
</file>

<file path=xl/calcChain.xml><?xml version="1.0" encoding="utf-8"?>
<calcChain xmlns="http://schemas.openxmlformats.org/spreadsheetml/2006/main">
  <c r="H24" i="22" l="1"/>
  <c r="H23" i="22"/>
  <c r="H19" i="22"/>
  <c r="H18" i="22"/>
  <c r="H14" i="22"/>
  <c r="H13" i="22"/>
  <c r="H9" i="22"/>
  <c r="H8" i="22"/>
  <c r="U23" i="19" l="1"/>
  <c r="T23" i="19"/>
  <c r="S23" i="19"/>
  <c r="R23" i="19"/>
  <c r="Q23" i="19"/>
  <c r="P23" i="19"/>
  <c r="O23" i="19"/>
  <c r="N23" i="19"/>
  <c r="M23" i="19"/>
  <c r="L23" i="19"/>
  <c r="K23" i="19"/>
  <c r="J23" i="19"/>
  <c r="J8" i="19"/>
  <c r="J18" i="19"/>
  <c r="U18" i="19"/>
  <c r="T18" i="19"/>
  <c r="S18" i="19"/>
  <c r="R18" i="19"/>
  <c r="Q18" i="19"/>
  <c r="P18" i="19"/>
  <c r="O18" i="19"/>
  <c r="N18" i="19"/>
  <c r="M18" i="19"/>
  <c r="L18" i="19"/>
  <c r="K18" i="19"/>
  <c r="J13" i="19"/>
  <c r="U13" i="19"/>
  <c r="T13" i="19"/>
  <c r="S13" i="19"/>
  <c r="R13" i="19"/>
  <c r="Q13" i="19"/>
  <c r="P13" i="19"/>
  <c r="O13" i="19"/>
  <c r="N13" i="19"/>
  <c r="M13" i="19"/>
  <c r="L13" i="19"/>
  <c r="K13" i="19"/>
  <c r="U8" i="19"/>
  <c r="T8" i="19"/>
  <c r="S8" i="19"/>
  <c r="R8" i="19"/>
  <c r="Q8" i="19"/>
  <c r="P8" i="19"/>
  <c r="O8" i="19"/>
  <c r="N8" i="19"/>
  <c r="M8" i="19"/>
  <c r="L8" i="19"/>
  <c r="K8" i="19"/>
  <c r="H8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H22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J7" i="19"/>
  <c r="U7" i="19"/>
  <c r="T7" i="19"/>
  <c r="S7" i="19"/>
  <c r="R7" i="19"/>
  <c r="Q7" i="19"/>
  <c r="P7" i="19"/>
  <c r="O7" i="19"/>
  <c r="N7" i="19"/>
  <c r="M7" i="19"/>
  <c r="L7" i="19"/>
  <c r="K7" i="19"/>
  <c r="H7" i="19"/>
  <c r="H14" i="26" l="1"/>
  <c r="H24" i="26"/>
  <c r="H23" i="26"/>
  <c r="H19" i="26"/>
  <c r="H18" i="26"/>
  <c r="H13" i="26"/>
  <c r="H9" i="26"/>
  <c r="H8" i="26"/>
  <c r="H29" i="22"/>
  <c r="H28" i="22"/>
  <c r="H24" i="25"/>
  <c r="H23" i="25"/>
  <c r="H19" i="25"/>
  <c r="H18" i="25"/>
  <c r="H14" i="25"/>
  <c r="H13" i="25"/>
  <c r="H9" i="25"/>
  <c r="H29" i="25" s="1"/>
  <c r="H8" i="25"/>
  <c r="H28" i="25" s="1"/>
  <c r="H24" i="23"/>
  <c r="H23" i="23"/>
  <c r="H19" i="23"/>
  <c r="H18" i="23"/>
  <c r="H14" i="23"/>
  <c r="H13" i="23"/>
  <c r="H9" i="23"/>
  <c r="H29" i="23" s="1"/>
  <c r="H8" i="23"/>
  <c r="H28" i="23" s="1"/>
  <c r="H29" i="26" l="1"/>
  <c r="H28" i="26"/>
  <c r="H23" i="19" l="1"/>
  <c r="H18" i="19"/>
  <c r="H17" i="19"/>
  <c r="H13" i="19"/>
  <c r="H12" i="19"/>
</calcChain>
</file>

<file path=xl/sharedStrings.xml><?xml version="1.0" encoding="utf-8"?>
<sst xmlns="http://schemas.openxmlformats.org/spreadsheetml/2006/main" count="2147" uniqueCount="241">
  <si>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</si>
  <si>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</si>
  <si>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</si>
  <si>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</si>
  <si>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</si>
  <si>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</si>
  <si>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</si>
  <si>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</si>
  <si>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Charlotte Campus</t>
  </si>
  <si>
    <t>Collier Campus</t>
  </si>
  <si>
    <t>Hendry/Glades Center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</si>
  <si>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</si>
  <si>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</si>
  <si>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</si>
  <si>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</si>
  <si>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</si>
  <si>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</si>
  <si>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</si>
  <si>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</si>
  <si>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</si>
  <si>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</si>
  <si>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</si>
  <si>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</si>
  <si>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</si>
  <si>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</si>
  <si>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</si>
  <si>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</si>
  <si>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</si>
  <si>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</si>
  <si>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</si>
  <si>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</si>
  <si>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</si>
  <si>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</si>
  <si>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</si>
  <si>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</si>
  <si>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</si>
  <si>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</si>
  <si>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</si>
  <si>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</si>
  <si>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</si>
  <si>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</si>
  <si>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</si>
  <si>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</si>
  <si>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</si>
  <si>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</si>
  <si>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</si>
  <si>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</si>
  <si>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</si>
  <si>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</si>
  <si>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</si>
  <si>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</si>
  <si>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</si>
  <si>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</si>
  <si>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</si>
  <si>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</si>
  <si>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</si>
  <si>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</si>
  <si>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</si>
  <si>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</si>
  <si>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</si>
  <si>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</si>
  <si>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</si>
  <si>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</si>
  <si>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</si>
  <si>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</si>
  <si>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</si>
  <si>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</si>
  <si>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</si>
  <si>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</si>
  <si>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</si>
  <si>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</si>
  <si>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</si>
  <si>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</si>
  <si>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</si>
  <si>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</si>
  <si>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</si>
  <si>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</si>
  <si>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</si>
  <si>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</si>
  <si>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</si>
  <si>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</si>
  <si>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</si>
  <si>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</si>
  <si>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</si>
  <si>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</si>
  <si>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</si>
  <si>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</si>
  <si>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</si>
  <si>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</si>
  <si>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</si>
  <si>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</si>
  <si>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</si>
  <si>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</si>
  <si>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</si>
  <si>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</si>
  <si>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</si>
  <si>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</si>
  <si>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</si>
  <si>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</si>
  <si>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</si>
  <si>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</si>
  <si>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</si>
  <si>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</si>
  <si>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</si>
  <si>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</si>
  <si>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</si>
  <si>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</si>
  <si>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</si>
  <si>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</si>
  <si>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</si>
  <si>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</si>
  <si>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</si>
  <si>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</si>
  <si>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</si>
  <si>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</si>
  <si>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</si>
  <si>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</si>
  <si>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</si>
  <si>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</si>
  <si>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</si>
  <si>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</si>
  <si>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</si>
  <si>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</si>
  <si>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</si>
  <si>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</si>
  <si>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</si>
  <si>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</si>
  <si>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</si>
  <si>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</si>
  <si>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</si>
  <si>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</si>
  <si>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</si>
  <si>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</si>
  <si>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</si>
  <si>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</si>
  <si>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</si>
  <si>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</si>
  <si>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</si>
  <si>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</si>
  <si>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</si>
  <si>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</si>
  <si>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</si>
  <si>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</si>
  <si>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</si>
  <si>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</si>
  <si>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</si>
  <si>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</si>
  <si>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</si>
  <si>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</si>
  <si>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</si>
  <si>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</si>
  <si>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</si>
  <si>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</si>
  <si>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</si>
  <si>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</si>
  <si>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</si>
  <si>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</si>
  <si>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</si>
  <si>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</si>
  <si>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</si>
  <si>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</si>
  <si>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</si>
  <si>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</si>
  <si>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</si>
  <si>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</si>
  <si>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</si>
  <si>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</si>
  <si>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</si>
  <si>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</si>
  <si>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</si>
  <si>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</si>
  <si>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</si>
  <si>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</si>
  <si>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</si>
  <si>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</si>
  <si>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</si>
  <si>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</si>
  <si>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</si>
  <si>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</si>
  <si>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</si>
  <si>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</si>
  <si>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</si>
  <si>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</si>
  <si>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</si>
  <si>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</si>
  <si>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</si>
  <si>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</si>
  <si>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</si>
  <si>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</si>
  <si>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</si>
  <si>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</si>
  <si>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</si>
  <si>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</si>
  <si>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</si>
  <si>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</si>
  <si>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</si>
  <si>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</si>
  <si>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</si>
  <si>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</si>
  <si>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</si>
  <si>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</si>
  <si>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</si>
  <si>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</si>
  <si>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</si>
  <si>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</si>
  <si>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</si>
  <si>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</si>
  <si>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</si>
  <si>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</si>
  <si>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</si>
  <si>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</si>
  <si>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</si>
  <si>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</si>
  <si>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</si>
  <si>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</si>
  <si>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</si>
  <si>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</si>
  <si>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</si>
  <si>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</si>
  <si>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</si>
  <si>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</si>
  <si>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</si>
  <si>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</si>
  <si>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</si>
  <si>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Division Totals</t>
  </si>
  <si>
    <t>(January 4 - May 6, 2016)</t>
  </si>
  <si>
    <t>(May 7 - August 8, 2016)</t>
  </si>
  <si>
    <t>(August 10, 2015 - August 8, 2016)</t>
  </si>
  <si>
    <t>Total Number of Classes this Fiscal Year</t>
  </si>
  <si>
    <t>Total Number of Students this Fiscal Year</t>
  </si>
  <si>
    <t>Total Number of Classes this Fiscal Year</t>
  </si>
  <si>
    <t>Fiscal Year 2015-2016</t>
  </si>
  <si>
    <t>Thomas Edison (Lee) Campus</t>
  </si>
  <si>
    <t>(August 10 - December 18, 2015)</t>
  </si>
  <si>
    <t>Fall 2015, Spring 2016, &amp; Summer 2016</t>
  </si>
  <si>
    <t>Total Number of Classes</t>
  </si>
  <si>
    <t>Total Number of Students</t>
  </si>
  <si>
    <t>Total Number of Classes</t>
  </si>
  <si>
    <t>Summary of Library Instruction</t>
  </si>
  <si>
    <t>(Research Instruction, Workshops, Orientations)</t>
  </si>
  <si>
    <t>Spring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</si>
</sst>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7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17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2015-2016'!$A$5,'Fiscal Year 2015-2016'!$A$10,'Fiscal Year 2015-2016'!$A$15,'Fiscal Year 2015-2016'!$A$20)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2015-2016'!$H$7,'Fiscal Year 2015-2016'!$H$12,'Fiscal Year 2015-2016'!$H$17,'Fiscal Year 2015-2016'!$H$22)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527088"/>
        <c:axId val="304527648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2015-2016'!$A$5,'Fiscal Year 2015-2016'!$A$10,'Fiscal Year 2015-2016'!$A$15,'Fiscal Year 2015-2016'!$A$20)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2015-2016'!$H$8,'Fiscal Year 2015-2016'!$H$13,'Fiscal Year 2015-2016'!$H$18,'Fiscal Year 2015-2016'!$H$23)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528768"/>
        <c:axId val="304528208"/>
      </c:lineChart>
      <c:catAx>
        <c:axId val="304527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4527648"/>
        <c:crosses val="autoZero"/>
        <c:auto val="1"/>
        <c:lblAlgn val="ctr"/>
        <c:lblOffset val="100"/>
        <c:noMultiLvlLbl val="0"/>
      </c:catAx>
      <c:valAx>
        <c:axId val="304527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04527088"/>
        <c:crosses val="autoZero"/>
        <c:crossBetween val="between"/>
      </c:valAx>
      <c:valAx>
        <c:axId val="304528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4528768"/>
        <c:crosses val="max"/>
        <c:crossBetween val="between"/>
      </c:valAx>
      <c:catAx>
        <c:axId val="304528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4528208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AY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('[1]Academic Year 2016-2017'!$A$6,'[1]Academic Year 2016-2017'!$A$11,'[1]Academic Year 2016-2017'!$A$16,'[1]Academic Year 2016-2017'!$A$21)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('Academic Year 2015-2016'!$H$8,'Academic Year 2015-2016'!$H$13,'Academic Year 2015-2016'!$H$18,'Academic Year 2015-2016'!$H$23)</c:f>
              <c:numCache>
                <c:formatCode>General</c:formatCode>
                <c:ptCount val="4"/>
                <c:pt idx="0">
                  <c:v>258</c:v>
                </c:pt>
                <c:pt idx="1">
                  <c:v>63</c:v>
                </c:pt>
                <c:pt idx="2">
                  <c:v>81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650560"/>
        <c:axId val="305651120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('Academic Year 2015-2016'!$A$6,'Academic Year 2015-2016'!$A$11,'Academic Year 2015-2016'!$A$16,'Academic Year 2015-2016'!$A$21)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('Academic Year 2015-2016'!$H$9,'Academic Year 2015-2016'!$H$14,'Academic Year 2015-2016'!$H$19,'Academic Year 2015-2016'!$H$24)</c:f>
              <c:numCache>
                <c:formatCode>General</c:formatCode>
                <c:ptCount val="4"/>
                <c:pt idx="0">
                  <c:v>5364</c:v>
                </c:pt>
                <c:pt idx="1">
                  <c:v>943</c:v>
                </c:pt>
                <c:pt idx="2">
                  <c:v>1693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52240"/>
        <c:axId val="305651680"/>
      </c:lineChart>
      <c:catAx>
        <c:axId val="305650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5651120"/>
        <c:crosses val="autoZero"/>
        <c:auto val="1"/>
        <c:lblAlgn val="ctr"/>
        <c:lblOffset val="100"/>
        <c:noMultiLvlLbl val="0"/>
      </c:catAx>
      <c:valAx>
        <c:axId val="305651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05650560"/>
        <c:crosses val="autoZero"/>
        <c:crossBetween val="between"/>
      </c:valAx>
      <c:valAx>
        <c:axId val="3056516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5652240"/>
        <c:crosses val="max"/>
        <c:crossBetween val="between"/>
      </c:valAx>
      <c:catAx>
        <c:axId val="30565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5651680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23</xdr:row>
      <xdr:rowOff>114301</xdr:rowOff>
    </xdr:from>
    <xdr:to>
      <xdr:col>7</xdr:col>
      <xdr:colOff>590550</xdr:colOff>
      <xdr:row>47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7</xdr:col>
      <xdr:colOff>571498</xdr:colOff>
      <xdr:row>54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earch%20Instruction%20Classes%202016-17%20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Fiscal Year 2016-2017"/>
      <sheetName val="Fall 2016"/>
      <sheetName val="Spring 2017"/>
      <sheetName val="Summer 2017"/>
      <sheetName val="Academic Year 2016-2017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Thomas Edison (Lee) Campus</v>
          </cell>
        </row>
        <row r="8">
          <cell r="H8">
            <v>4</v>
          </cell>
        </row>
        <row r="9">
          <cell r="H9">
            <v>75</v>
          </cell>
        </row>
        <row r="11">
          <cell r="A11" t="str">
            <v>Charlotte Campus</v>
          </cell>
        </row>
        <row r="13">
          <cell r="H13">
            <v>1</v>
          </cell>
        </row>
        <row r="14">
          <cell r="H14">
            <v>17</v>
          </cell>
        </row>
        <row r="16">
          <cell r="A16" t="str">
            <v>Collier Campus</v>
          </cell>
        </row>
        <row r="18">
          <cell r="H18">
            <v>0</v>
          </cell>
        </row>
        <row r="19">
          <cell r="H19">
            <v>0</v>
          </cell>
        </row>
        <row r="21">
          <cell r="A21" t="str">
            <v>Hendry/Glades Center</v>
          </cell>
        </row>
        <row r="23">
          <cell r="H23">
            <v>0</v>
          </cell>
        </row>
        <row r="24">
          <cell r="H2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11</v>
      </c>
      <c r="D2" s="62" t="s">
        <v>12</v>
      </c>
      <c r="E2" s="109" t="s">
        <v>13</v>
      </c>
      <c r="F2" s="63" t="s">
        <v>14</v>
      </c>
      <c r="G2" s="110" t="s">
        <v>15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16</v>
      </c>
      <c r="D3" s="62" t="s">
        <v>12</v>
      </c>
      <c r="E3" s="109" t="s">
        <v>218</v>
      </c>
      <c r="F3" s="62" t="s">
        <v>17</v>
      </c>
      <c r="G3" s="114" t="s">
        <v>18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32</v>
      </c>
      <c r="D4" s="62" t="s">
        <v>33</v>
      </c>
      <c r="E4" s="109" t="s">
        <v>34</v>
      </c>
      <c r="F4" s="63" t="s">
        <v>24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19</v>
      </c>
      <c r="D5" s="62" t="s">
        <v>12</v>
      </c>
      <c r="E5" s="109" t="s">
        <v>13</v>
      </c>
      <c r="F5" s="63" t="s">
        <v>21</v>
      </c>
      <c r="G5" s="110" t="s">
        <v>20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35</v>
      </c>
      <c r="D6" s="109" t="s">
        <v>43</v>
      </c>
      <c r="E6" s="64" t="s">
        <v>36</v>
      </c>
      <c r="F6" s="64" t="s">
        <v>26</v>
      </c>
      <c r="G6" s="64" t="s">
        <v>37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35</v>
      </c>
      <c r="D7" s="62" t="s">
        <v>43</v>
      </c>
      <c r="E7" s="64" t="s">
        <v>219</v>
      </c>
      <c r="F7" s="64" t="s">
        <v>22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23</v>
      </c>
      <c r="D8" s="62" t="s">
        <v>12</v>
      </c>
      <c r="E8" s="109" t="s">
        <v>13</v>
      </c>
      <c r="F8" s="63" t="s">
        <v>22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220</v>
      </c>
      <c r="D9" s="62" t="s">
        <v>43</v>
      </c>
      <c r="E9" s="64" t="s">
        <v>38</v>
      </c>
      <c r="F9" s="64" t="s">
        <v>22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35</v>
      </c>
      <c r="D10" s="62" t="s">
        <v>43</v>
      </c>
      <c r="E10" s="64" t="s">
        <v>219</v>
      </c>
      <c r="F10" s="64" t="s">
        <v>22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220</v>
      </c>
      <c r="D11" s="62" t="s">
        <v>43</v>
      </c>
      <c r="E11" s="64" t="s">
        <v>38</v>
      </c>
      <c r="F11" s="64" t="s">
        <v>22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35</v>
      </c>
      <c r="D12" s="62" t="s">
        <v>43</v>
      </c>
      <c r="E12" s="64" t="s">
        <v>36</v>
      </c>
      <c r="F12" s="64" t="s">
        <v>26</v>
      </c>
      <c r="G12" s="64" t="s">
        <v>39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19</v>
      </c>
      <c r="D13" s="62" t="s">
        <v>12</v>
      </c>
      <c r="E13" s="109" t="s">
        <v>13</v>
      </c>
      <c r="F13" s="63" t="s">
        <v>24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11</v>
      </c>
      <c r="D14" s="62" t="s">
        <v>12</v>
      </c>
      <c r="E14" s="109" t="s">
        <v>13</v>
      </c>
      <c r="F14" s="63" t="s">
        <v>24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16</v>
      </c>
      <c r="D15" s="62" t="s">
        <v>12</v>
      </c>
      <c r="E15" s="109" t="s">
        <v>13</v>
      </c>
      <c r="F15" s="63" t="s">
        <v>24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35</v>
      </c>
      <c r="D16" s="62" t="s">
        <v>43</v>
      </c>
      <c r="E16" s="64" t="s">
        <v>219</v>
      </c>
      <c r="F16" s="63" t="s">
        <v>24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220</v>
      </c>
      <c r="D17" s="62" t="s">
        <v>43</v>
      </c>
      <c r="E17" s="64" t="s">
        <v>38</v>
      </c>
      <c r="F17" s="63" t="s">
        <v>24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35</v>
      </c>
      <c r="D18" s="62" t="s">
        <v>43</v>
      </c>
      <c r="E18" s="64" t="s">
        <v>219</v>
      </c>
      <c r="F18" s="63" t="s">
        <v>24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220</v>
      </c>
      <c r="D19" s="62" t="s">
        <v>43</v>
      </c>
      <c r="E19" s="64" t="s">
        <v>38</v>
      </c>
      <c r="F19" s="63" t="s">
        <v>24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25</v>
      </c>
      <c r="D20" s="62" t="s">
        <v>12</v>
      </c>
      <c r="E20" s="109" t="s">
        <v>13</v>
      </c>
      <c r="F20" s="63" t="s">
        <v>26</v>
      </c>
      <c r="G20" s="110" t="s">
        <v>27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35</v>
      </c>
      <c r="D21" s="62" t="s">
        <v>43</v>
      </c>
      <c r="E21" s="64" t="s">
        <v>40</v>
      </c>
      <c r="F21" s="64" t="s">
        <v>221</v>
      </c>
      <c r="G21" s="64" t="s">
        <v>41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16</v>
      </c>
      <c r="D22" s="62" t="s">
        <v>12</v>
      </c>
      <c r="E22" s="109" t="s">
        <v>13</v>
      </c>
      <c r="F22" s="63" t="s">
        <v>28</v>
      </c>
      <c r="G22" s="110" t="s">
        <v>29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30</v>
      </c>
      <c r="D23" s="62" t="s">
        <v>12</v>
      </c>
      <c r="E23" s="109" t="s">
        <v>13</v>
      </c>
      <c r="F23" s="63" t="s">
        <v>26</v>
      </c>
      <c r="G23" s="122" t="s">
        <v>31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19</v>
      </c>
      <c r="D24" s="62" t="s">
        <v>12</v>
      </c>
      <c r="E24" s="109" t="s">
        <v>13</v>
      </c>
      <c r="F24" s="63" t="s">
        <v>24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220</v>
      </c>
      <c r="D25" s="62" t="s">
        <v>43</v>
      </c>
      <c r="E25" s="64" t="s">
        <v>42</v>
      </c>
      <c r="F25" s="64" t="s">
        <v>221</v>
      </c>
      <c r="G25" s="64" t="s">
        <v>41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23</v>
      </c>
      <c r="D26" s="62" t="s">
        <v>12</v>
      </c>
      <c r="E26" s="109" t="s">
        <v>13</v>
      </c>
      <c r="F26" s="63" t="s">
        <v>24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11</v>
      </c>
      <c r="D27" s="62" t="s">
        <v>12</v>
      </c>
      <c r="E27" s="64" t="s">
        <v>13</v>
      </c>
      <c r="F27" s="63" t="s">
        <v>44</v>
      </c>
      <c r="G27" s="61" t="s">
        <v>45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23</v>
      </c>
      <c r="D28" s="37" t="s">
        <v>12</v>
      </c>
      <c r="E28" s="64" t="s">
        <v>13</v>
      </c>
      <c r="F28" s="38" t="s">
        <v>46</v>
      </c>
      <c r="G28" s="39" t="s">
        <v>47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32</v>
      </c>
      <c r="D29" s="25" t="s">
        <v>33</v>
      </c>
      <c r="E29" s="25" t="s">
        <v>53</v>
      </c>
      <c r="F29" s="79" t="s">
        <v>50</v>
      </c>
      <c r="G29" s="25" t="s">
        <v>51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32</v>
      </c>
      <c r="D30" s="25" t="s">
        <v>33</v>
      </c>
      <c r="E30" s="25" t="s">
        <v>53</v>
      </c>
      <c r="F30" s="79" t="s">
        <v>50</v>
      </c>
      <c r="G30" s="25" t="s">
        <v>51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16</v>
      </c>
      <c r="D31" s="37" t="s">
        <v>12</v>
      </c>
      <c r="E31" s="64" t="s">
        <v>13</v>
      </c>
      <c r="F31" s="38" t="s">
        <v>14</v>
      </c>
      <c r="G31" s="39" t="s">
        <v>15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19</v>
      </c>
      <c r="D32" s="37" t="s">
        <v>12</v>
      </c>
      <c r="E32" s="64" t="s">
        <v>13</v>
      </c>
      <c r="F32" s="38" t="s">
        <v>14</v>
      </c>
      <c r="G32" s="39" t="s">
        <v>15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19</v>
      </c>
      <c r="D33" s="37" t="s">
        <v>12</v>
      </c>
      <c r="E33" s="64" t="s">
        <v>13</v>
      </c>
      <c r="F33" s="38" t="s">
        <v>26</v>
      </c>
      <c r="G33" s="39" t="s">
        <v>49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30</v>
      </c>
      <c r="D34" s="37" t="s">
        <v>12</v>
      </c>
      <c r="E34" s="37" t="s">
        <v>13</v>
      </c>
      <c r="F34" s="37" t="s">
        <v>22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32</v>
      </c>
      <c r="D35" s="25" t="s">
        <v>33</v>
      </c>
      <c r="E35" s="25" t="s">
        <v>52</v>
      </c>
      <c r="F35" s="79" t="s">
        <v>22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11</v>
      </c>
      <c r="D36" s="37" t="s">
        <v>12</v>
      </c>
      <c r="E36" s="64" t="s">
        <v>13</v>
      </c>
      <c r="F36" s="38" t="s">
        <v>22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19</v>
      </c>
      <c r="D37" s="74" t="s">
        <v>12</v>
      </c>
      <c r="E37" s="28" t="s">
        <v>13</v>
      </c>
      <c r="F37" s="76" t="s">
        <v>26</v>
      </c>
      <c r="G37" s="74" t="s">
        <v>49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11</v>
      </c>
      <c r="D38" s="74" t="s">
        <v>12</v>
      </c>
      <c r="E38" s="28" t="s">
        <v>13</v>
      </c>
      <c r="F38" s="76" t="s">
        <v>26</v>
      </c>
      <c r="G38" s="74" t="s">
        <v>49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25</v>
      </c>
      <c r="D39" s="74" t="s">
        <v>12</v>
      </c>
      <c r="E39" s="28" t="s">
        <v>13</v>
      </c>
      <c r="F39" s="76" t="s">
        <v>26</v>
      </c>
      <c r="G39" s="74" t="s">
        <v>49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35</v>
      </c>
      <c r="D40" s="37" t="s">
        <v>43</v>
      </c>
      <c r="E40" s="2" t="s">
        <v>38</v>
      </c>
      <c r="F40" s="38" t="s">
        <v>22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11</v>
      </c>
      <c r="D41" s="74" t="s">
        <v>12</v>
      </c>
      <c r="E41" s="28" t="s">
        <v>13</v>
      </c>
      <c r="F41" s="76" t="s">
        <v>26</v>
      </c>
      <c r="G41" s="74" t="s">
        <v>54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19</v>
      </c>
      <c r="D42" s="74" t="s">
        <v>12</v>
      </c>
      <c r="E42" s="28" t="s">
        <v>13</v>
      </c>
      <c r="F42" s="76" t="s">
        <v>26</v>
      </c>
      <c r="G42" s="74" t="s">
        <v>54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32</v>
      </c>
      <c r="D43" s="37" t="s">
        <v>33</v>
      </c>
      <c r="E43" s="74" t="s">
        <v>34</v>
      </c>
      <c r="F43" s="76" t="s">
        <v>22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23</v>
      </c>
      <c r="D44" s="74" t="s">
        <v>12</v>
      </c>
      <c r="E44" s="28" t="s">
        <v>13</v>
      </c>
      <c r="F44" s="76" t="s">
        <v>26</v>
      </c>
      <c r="G44" s="14" t="s">
        <v>54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35</v>
      </c>
      <c r="D45" s="37" t="s">
        <v>43</v>
      </c>
      <c r="E45" s="2" t="s">
        <v>42</v>
      </c>
      <c r="F45" s="38" t="s">
        <v>22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25</v>
      </c>
      <c r="D46" s="37" t="s">
        <v>12</v>
      </c>
      <c r="E46" s="23" t="s">
        <v>13</v>
      </c>
      <c r="F46" s="37" t="s">
        <v>26</v>
      </c>
      <c r="G46" s="40" t="s">
        <v>54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11</v>
      </c>
      <c r="D47" s="37" t="s">
        <v>12</v>
      </c>
      <c r="E47" s="23" t="s">
        <v>13</v>
      </c>
      <c r="F47" s="38" t="s">
        <v>26</v>
      </c>
      <c r="G47" s="23" t="s">
        <v>55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19</v>
      </c>
      <c r="D48" s="37" t="s">
        <v>12</v>
      </c>
      <c r="E48" s="23" t="s">
        <v>13</v>
      </c>
      <c r="F48" s="37" t="s">
        <v>22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32</v>
      </c>
      <c r="D49" s="37" t="s">
        <v>33</v>
      </c>
      <c r="E49" s="74" t="s">
        <v>84</v>
      </c>
      <c r="F49" s="76" t="s">
        <v>85</v>
      </c>
      <c r="G49" s="74" t="s">
        <v>86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32</v>
      </c>
      <c r="D50" s="37" t="s">
        <v>33</v>
      </c>
      <c r="E50" s="74" t="s">
        <v>34</v>
      </c>
      <c r="F50" s="76" t="s">
        <v>22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32</v>
      </c>
      <c r="D51" s="37" t="s">
        <v>33</v>
      </c>
      <c r="E51" s="74" t="s">
        <v>87</v>
      </c>
      <c r="F51" s="76" t="s">
        <v>78</v>
      </c>
      <c r="G51" s="74" t="s">
        <v>88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32</v>
      </c>
      <c r="D52" s="37" t="s">
        <v>33</v>
      </c>
      <c r="E52" s="74" t="s">
        <v>87</v>
      </c>
      <c r="F52" s="76" t="s">
        <v>78</v>
      </c>
      <c r="G52" s="74" t="s">
        <v>88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23</v>
      </c>
      <c r="D53" s="37" t="s">
        <v>12</v>
      </c>
      <c r="E53" s="23" t="s">
        <v>13</v>
      </c>
      <c r="F53" s="37" t="s">
        <v>56</v>
      </c>
      <c r="G53" s="40" t="s">
        <v>57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19</v>
      </c>
      <c r="D54" s="37" t="s">
        <v>12</v>
      </c>
      <c r="E54" s="23" t="s">
        <v>13</v>
      </c>
      <c r="F54" s="37" t="s">
        <v>56</v>
      </c>
      <c r="G54" s="40" t="s">
        <v>57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30</v>
      </c>
      <c r="D55" s="37" t="s">
        <v>12</v>
      </c>
      <c r="E55" s="23" t="s">
        <v>13</v>
      </c>
      <c r="F55" s="38" t="s">
        <v>56</v>
      </c>
      <c r="G55" s="39" t="s">
        <v>57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16</v>
      </c>
      <c r="D56" s="37" t="s">
        <v>12</v>
      </c>
      <c r="E56" s="23" t="s">
        <v>13</v>
      </c>
      <c r="F56" s="37" t="s">
        <v>56</v>
      </c>
      <c r="G56" s="39" t="s">
        <v>58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23</v>
      </c>
      <c r="D57" s="37" t="s">
        <v>12</v>
      </c>
      <c r="E57" s="23" t="s">
        <v>13</v>
      </c>
      <c r="F57" s="38" t="s">
        <v>26</v>
      </c>
      <c r="G57" s="39" t="s">
        <v>58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32</v>
      </c>
      <c r="D58" s="37" t="s">
        <v>33</v>
      </c>
      <c r="E58" s="74" t="s">
        <v>89</v>
      </c>
      <c r="F58" s="76" t="s">
        <v>90</v>
      </c>
      <c r="G58" s="74" t="s">
        <v>91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19</v>
      </c>
      <c r="D59" s="37" t="s">
        <v>12</v>
      </c>
      <c r="E59" s="23" t="s">
        <v>13</v>
      </c>
      <c r="F59" s="38" t="s">
        <v>56</v>
      </c>
      <c r="G59" s="39" t="s">
        <v>57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32</v>
      </c>
      <c r="D60" s="37" t="s">
        <v>33</v>
      </c>
      <c r="E60" s="74" t="s">
        <v>87</v>
      </c>
      <c r="F60" s="74" t="s">
        <v>78</v>
      </c>
      <c r="G60" s="74" t="s">
        <v>92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11</v>
      </c>
      <c r="D61" s="37" t="s">
        <v>12</v>
      </c>
      <c r="E61" s="23" t="s">
        <v>13</v>
      </c>
      <c r="F61" s="38" t="s">
        <v>60</v>
      </c>
      <c r="G61" s="39" t="s">
        <v>59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32</v>
      </c>
      <c r="D62" s="37" t="s">
        <v>33</v>
      </c>
      <c r="E62" s="73" t="s">
        <v>87</v>
      </c>
      <c r="F62" s="76" t="s">
        <v>93</v>
      </c>
      <c r="G62" s="74" t="s">
        <v>92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32</v>
      </c>
      <c r="D63" s="37" t="s">
        <v>33</v>
      </c>
      <c r="E63" s="73" t="s">
        <v>84</v>
      </c>
      <c r="F63" s="76" t="s">
        <v>78</v>
      </c>
      <c r="G63" s="74" t="s">
        <v>92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23</v>
      </c>
      <c r="D64" s="37" t="s">
        <v>12</v>
      </c>
      <c r="E64" s="23" t="s">
        <v>13</v>
      </c>
      <c r="F64" s="38" t="s">
        <v>26</v>
      </c>
      <c r="G64" s="39" t="s">
        <v>61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16</v>
      </c>
      <c r="D65" s="37" t="s">
        <v>12</v>
      </c>
      <c r="E65" s="23" t="s">
        <v>13</v>
      </c>
      <c r="F65" s="38" t="s">
        <v>26</v>
      </c>
      <c r="G65" s="39" t="s">
        <v>61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30</v>
      </c>
      <c r="D66" s="37" t="s">
        <v>12</v>
      </c>
      <c r="E66" s="23" t="s">
        <v>13</v>
      </c>
      <c r="F66" s="38" t="s">
        <v>26</v>
      </c>
      <c r="G66" s="39" t="s">
        <v>61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19</v>
      </c>
      <c r="D67" s="37" t="s">
        <v>12</v>
      </c>
      <c r="E67" s="23" t="s">
        <v>13</v>
      </c>
      <c r="F67" s="38" t="s">
        <v>28</v>
      </c>
      <c r="G67" s="39" t="s">
        <v>62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23</v>
      </c>
      <c r="D68" s="37" t="s">
        <v>12</v>
      </c>
      <c r="E68" s="23" t="s">
        <v>13</v>
      </c>
      <c r="F68" s="38" t="s">
        <v>63</v>
      </c>
      <c r="G68" s="39" t="s">
        <v>64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30</v>
      </c>
      <c r="D69" s="37" t="s">
        <v>12</v>
      </c>
      <c r="E69" s="23" t="s">
        <v>13</v>
      </c>
      <c r="F69" s="38" t="s">
        <v>28</v>
      </c>
      <c r="G69" s="39" t="s">
        <v>65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25</v>
      </c>
      <c r="D70" s="37" t="s">
        <v>12</v>
      </c>
      <c r="E70" s="23" t="s">
        <v>13</v>
      </c>
      <c r="F70" s="38" t="s">
        <v>22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19</v>
      </c>
      <c r="D71" s="37" t="s">
        <v>12</v>
      </c>
      <c r="E71" s="37" t="s">
        <v>13</v>
      </c>
      <c r="F71" s="37" t="s">
        <v>26</v>
      </c>
      <c r="G71" s="40" t="s">
        <v>61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35</v>
      </c>
      <c r="D72" s="37" t="s">
        <v>43</v>
      </c>
      <c r="E72" s="2" t="s">
        <v>38</v>
      </c>
      <c r="F72" s="38" t="s">
        <v>22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16</v>
      </c>
      <c r="D73" s="37" t="s">
        <v>12</v>
      </c>
      <c r="E73" s="23" t="s">
        <v>13</v>
      </c>
      <c r="F73" s="38" t="s">
        <v>22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35</v>
      </c>
      <c r="D74" s="37" t="s">
        <v>43</v>
      </c>
      <c r="E74" s="2" t="s">
        <v>79</v>
      </c>
      <c r="F74" s="38" t="s">
        <v>78</v>
      </c>
      <c r="G74" s="2" t="s">
        <v>74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35</v>
      </c>
      <c r="D75" s="37" t="s">
        <v>43</v>
      </c>
      <c r="E75" s="2" t="s">
        <v>38</v>
      </c>
      <c r="F75" s="38" t="s">
        <v>22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35</v>
      </c>
      <c r="D76" s="37" t="s">
        <v>43</v>
      </c>
      <c r="E76" s="2" t="s">
        <v>79</v>
      </c>
      <c r="F76" s="38" t="s">
        <v>78</v>
      </c>
      <c r="G76" s="2" t="s">
        <v>74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11</v>
      </c>
      <c r="D77" s="37" t="s">
        <v>12</v>
      </c>
      <c r="E77" s="23" t="s">
        <v>13</v>
      </c>
      <c r="F77" s="38" t="s">
        <v>66</v>
      </c>
      <c r="G77" s="39" t="s">
        <v>67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35</v>
      </c>
      <c r="D78" s="37" t="s">
        <v>43</v>
      </c>
      <c r="E78" s="2" t="s">
        <v>80</v>
      </c>
      <c r="F78" s="38" t="s">
        <v>78</v>
      </c>
      <c r="G78" s="2" t="s">
        <v>74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11</v>
      </c>
      <c r="D79" s="37" t="s">
        <v>12</v>
      </c>
      <c r="E79" s="23" t="s">
        <v>13</v>
      </c>
      <c r="F79" s="38" t="s">
        <v>60</v>
      </c>
      <c r="G79" s="39" t="s">
        <v>59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32</v>
      </c>
      <c r="D80" s="37" t="s">
        <v>33</v>
      </c>
      <c r="E80" s="73" t="s">
        <v>87</v>
      </c>
      <c r="F80" s="76" t="s">
        <v>93</v>
      </c>
      <c r="G80" s="74" t="s">
        <v>94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30</v>
      </c>
      <c r="D81" s="37" t="s">
        <v>12</v>
      </c>
      <c r="E81" s="23" t="s">
        <v>13</v>
      </c>
      <c r="F81" s="38" t="s">
        <v>77</v>
      </c>
      <c r="G81" s="39" t="s">
        <v>68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32</v>
      </c>
      <c r="D82" s="37" t="s">
        <v>33</v>
      </c>
      <c r="E82" s="74" t="s">
        <v>34</v>
      </c>
      <c r="F82" s="76" t="s">
        <v>22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19</v>
      </c>
      <c r="D83" s="37" t="s">
        <v>12</v>
      </c>
      <c r="E83" s="23" t="s">
        <v>13</v>
      </c>
      <c r="F83" s="38" t="s">
        <v>28</v>
      </c>
      <c r="G83" s="39" t="s">
        <v>208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16</v>
      </c>
      <c r="D84" s="37" t="s">
        <v>12</v>
      </c>
      <c r="E84" s="23" t="s">
        <v>13</v>
      </c>
      <c r="F84" s="38" t="s">
        <v>26</v>
      </c>
      <c r="G84" s="39" t="s">
        <v>69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25</v>
      </c>
      <c r="D85" s="37" t="s">
        <v>12</v>
      </c>
      <c r="E85" s="23" t="s">
        <v>13</v>
      </c>
      <c r="F85" s="38" t="s">
        <v>70</v>
      </c>
      <c r="G85" s="39" t="s">
        <v>71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32</v>
      </c>
      <c r="D86" s="37" t="s">
        <v>33</v>
      </c>
      <c r="E86" s="73" t="s">
        <v>87</v>
      </c>
      <c r="F86" s="76" t="s">
        <v>78</v>
      </c>
      <c r="G86" s="74" t="s">
        <v>94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19</v>
      </c>
      <c r="D87" s="37" t="s">
        <v>12</v>
      </c>
      <c r="E87" s="23" t="s">
        <v>13</v>
      </c>
      <c r="F87" s="38" t="s">
        <v>70</v>
      </c>
      <c r="G87" s="39" t="s">
        <v>71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23</v>
      </c>
      <c r="D88" s="37" t="s">
        <v>12</v>
      </c>
      <c r="E88" s="23" t="s">
        <v>13</v>
      </c>
      <c r="F88" s="38" t="s">
        <v>21</v>
      </c>
      <c r="G88" s="39" t="s">
        <v>20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16</v>
      </c>
      <c r="D89" s="37" t="s">
        <v>12</v>
      </c>
      <c r="E89" s="23" t="s">
        <v>72</v>
      </c>
      <c r="F89" s="38" t="s">
        <v>28</v>
      </c>
      <c r="G89" s="39" t="s">
        <v>208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35</v>
      </c>
      <c r="D90" s="37" t="s">
        <v>43</v>
      </c>
      <c r="E90" s="2" t="s">
        <v>36</v>
      </c>
      <c r="F90" s="2" t="s">
        <v>56</v>
      </c>
      <c r="G90" s="2" t="s">
        <v>37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11</v>
      </c>
      <c r="D91" s="37" t="s">
        <v>12</v>
      </c>
      <c r="E91" s="23" t="s">
        <v>13</v>
      </c>
      <c r="F91" s="38" t="s">
        <v>21</v>
      </c>
      <c r="G91" s="39" t="s">
        <v>20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35</v>
      </c>
      <c r="D92" s="37" t="s">
        <v>43</v>
      </c>
      <c r="E92" s="2" t="s">
        <v>36</v>
      </c>
      <c r="F92" s="2" t="s">
        <v>26</v>
      </c>
      <c r="G92" s="2" t="s">
        <v>81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19</v>
      </c>
      <c r="D93" s="37" t="s">
        <v>12</v>
      </c>
      <c r="E93" s="23" t="s">
        <v>13</v>
      </c>
      <c r="F93" s="38" t="s">
        <v>21</v>
      </c>
      <c r="G93" s="39" t="s">
        <v>20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35</v>
      </c>
      <c r="D94" s="37" t="s">
        <v>43</v>
      </c>
      <c r="E94" s="2" t="s">
        <v>36</v>
      </c>
      <c r="F94" s="2" t="s">
        <v>26</v>
      </c>
      <c r="G94" s="2" t="s">
        <v>37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19</v>
      </c>
      <c r="D95" s="37" t="s">
        <v>12</v>
      </c>
      <c r="E95" s="23" t="s">
        <v>13</v>
      </c>
      <c r="F95" s="38" t="s">
        <v>26</v>
      </c>
      <c r="G95" s="39" t="s">
        <v>73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35</v>
      </c>
      <c r="D96" s="37" t="s">
        <v>43</v>
      </c>
      <c r="E96" s="2" t="s">
        <v>36</v>
      </c>
      <c r="F96" s="2" t="s">
        <v>26</v>
      </c>
      <c r="G96" s="2" t="s">
        <v>82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35</v>
      </c>
      <c r="D97" s="37" t="s">
        <v>43</v>
      </c>
      <c r="E97" s="2" t="s">
        <v>36</v>
      </c>
      <c r="F97" s="2" t="s">
        <v>26</v>
      </c>
      <c r="G97" s="2" t="s">
        <v>82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16</v>
      </c>
      <c r="D98" s="37" t="s">
        <v>12</v>
      </c>
      <c r="E98" s="23" t="s">
        <v>13</v>
      </c>
      <c r="F98" s="38" t="s">
        <v>78</v>
      </c>
      <c r="G98" s="39" t="s">
        <v>74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11</v>
      </c>
      <c r="D99" s="37" t="s">
        <v>12</v>
      </c>
      <c r="E99" s="23" t="s">
        <v>13</v>
      </c>
      <c r="F99" s="38" t="s">
        <v>26</v>
      </c>
      <c r="G99" s="39" t="s">
        <v>73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35</v>
      </c>
      <c r="D100" s="37" t="s">
        <v>43</v>
      </c>
      <c r="E100" s="2" t="s">
        <v>36</v>
      </c>
      <c r="F100" s="2" t="s">
        <v>26</v>
      </c>
      <c r="G100" s="2" t="s">
        <v>82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35</v>
      </c>
      <c r="D101" s="37" t="s">
        <v>43</v>
      </c>
      <c r="E101" s="2" t="s">
        <v>36</v>
      </c>
      <c r="F101" s="2" t="s">
        <v>26</v>
      </c>
      <c r="G101" s="2" t="s">
        <v>82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35</v>
      </c>
      <c r="D102" s="37" t="s">
        <v>43</v>
      </c>
      <c r="E102" s="2" t="s">
        <v>36</v>
      </c>
      <c r="F102" s="2" t="s">
        <v>26</v>
      </c>
      <c r="G102" s="2" t="s">
        <v>82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83</v>
      </c>
      <c r="D103" s="37" t="s">
        <v>43</v>
      </c>
      <c r="E103" s="2" t="s">
        <v>36</v>
      </c>
      <c r="F103" s="2" t="s">
        <v>26</v>
      </c>
      <c r="G103" s="2" t="s">
        <v>82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25</v>
      </c>
      <c r="D104" s="37" t="s">
        <v>12</v>
      </c>
      <c r="E104" s="37" t="s">
        <v>13</v>
      </c>
      <c r="F104" s="38" t="s">
        <v>26</v>
      </c>
      <c r="G104" s="37" t="s">
        <v>73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23</v>
      </c>
      <c r="D105" s="37" t="s">
        <v>12</v>
      </c>
      <c r="E105" s="23" t="s">
        <v>13</v>
      </c>
      <c r="F105" s="38" t="s">
        <v>75</v>
      </c>
      <c r="G105" s="39" t="s">
        <v>76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30</v>
      </c>
      <c r="D106" s="37" t="s">
        <v>12</v>
      </c>
      <c r="E106" s="23" t="s">
        <v>13</v>
      </c>
      <c r="F106" s="38" t="s">
        <v>75</v>
      </c>
      <c r="G106" s="39" t="s">
        <v>76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35</v>
      </c>
      <c r="D107" s="37" t="s">
        <v>43</v>
      </c>
      <c r="E107" s="2" t="s">
        <v>36</v>
      </c>
      <c r="F107" s="2" t="s">
        <v>26</v>
      </c>
      <c r="G107" s="2" t="s">
        <v>81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35</v>
      </c>
      <c r="D108" s="37" t="s">
        <v>43</v>
      </c>
      <c r="E108" s="2" t="s">
        <v>36</v>
      </c>
      <c r="F108" s="2" t="s">
        <v>26</v>
      </c>
      <c r="G108" s="2" t="s">
        <v>81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19</v>
      </c>
      <c r="D109" s="37" t="s">
        <v>12</v>
      </c>
      <c r="E109" s="37" t="s">
        <v>13</v>
      </c>
      <c r="F109" s="37" t="s">
        <v>28</v>
      </c>
      <c r="G109" s="37" t="s">
        <v>95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19</v>
      </c>
      <c r="D110" s="37" t="s">
        <v>12</v>
      </c>
      <c r="E110" s="37" t="s">
        <v>13</v>
      </c>
      <c r="F110" s="37" t="s">
        <v>97</v>
      </c>
      <c r="G110" s="37" t="s">
        <v>96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25</v>
      </c>
      <c r="D111" s="37" t="s">
        <v>12</v>
      </c>
      <c r="E111" s="37" t="s">
        <v>13</v>
      </c>
      <c r="F111" s="37" t="s">
        <v>63</v>
      </c>
      <c r="G111" s="37" t="s">
        <v>76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130</v>
      </c>
      <c r="D112" s="25" t="s">
        <v>43</v>
      </c>
      <c r="E112" s="82" t="s">
        <v>36</v>
      </c>
      <c r="F112" s="82" t="s">
        <v>26</v>
      </c>
      <c r="G112" s="83" t="s">
        <v>37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16</v>
      </c>
      <c r="D113" s="37" t="s">
        <v>12</v>
      </c>
      <c r="E113" s="37" t="s">
        <v>13</v>
      </c>
      <c r="F113" s="38" t="s">
        <v>63</v>
      </c>
      <c r="G113" s="37" t="s">
        <v>76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32</v>
      </c>
      <c r="D114" s="74" t="s">
        <v>33</v>
      </c>
      <c r="E114" s="74" t="s">
        <v>126</v>
      </c>
      <c r="F114" s="74" t="s">
        <v>28</v>
      </c>
      <c r="G114" s="74" t="s">
        <v>123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11</v>
      </c>
      <c r="D115" s="37" t="s">
        <v>12</v>
      </c>
      <c r="E115" s="37" t="s">
        <v>13</v>
      </c>
      <c r="F115" s="38" t="s">
        <v>28</v>
      </c>
      <c r="G115" s="39" t="s">
        <v>95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32</v>
      </c>
      <c r="D116" s="74" t="s">
        <v>33</v>
      </c>
      <c r="E116" s="74" t="s">
        <v>126</v>
      </c>
      <c r="F116" s="74" t="s">
        <v>28</v>
      </c>
      <c r="G116" s="74" t="s">
        <v>123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25</v>
      </c>
      <c r="D117" s="37" t="s">
        <v>12</v>
      </c>
      <c r="E117" s="37" t="s">
        <v>13</v>
      </c>
      <c r="F117" s="38" t="s">
        <v>26</v>
      </c>
      <c r="G117" s="39" t="s">
        <v>99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16</v>
      </c>
      <c r="D118" s="37" t="s">
        <v>12</v>
      </c>
      <c r="E118" s="37" t="s">
        <v>13</v>
      </c>
      <c r="F118" s="38" t="s">
        <v>26</v>
      </c>
      <c r="G118" s="37" t="s">
        <v>99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23</v>
      </c>
      <c r="D119" s="37" t="s">
        <v>12</v>
      </c>
      <c r="E119" s="37" t="s">
        <v>13</v>
      </c>
      <c r="F119" s="37" t="s">
        <v>28</v>
      </c>
      <c r="G119" s="37" t="s">
        <v>98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19</v>
      </c>
      <c r="D120" s="37" t="s">
        <v>12</v>
      </c>
      <c r="E120" s="37" t="s">
        <v>13</v>
      </c>
      <c r="F120" s="38" t="s">
        <v>100</v>
      </c>
      <c r="G120" s="39" t="s">
        <v>101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32</v>
      </c>
      <c r="D121" s="74" t="s">
        <v>33</v>
      </c>
      <c r="E121" s="74" t="s">
        <v>126</v>
      </c>
      <c r="F121" s="74" t="s">
        <v>28</v>
      </c>
      <c r="G121" s="74" t="s">
        <v>123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25</v>
      </c>
      <c r="D122" s="37" t="s">
        <v>12</v>
      </c>
      <c r="E122" s="37" t="s">
        <v>13</v>
      </c>
      <c r="F122" s="38" t="s">
        <v>63</v>
      </c>
      <c r="G122" s="39" t="s">
        <v>76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11</v>
      </c>
      <c r="D123" s="37" t="s">
        <v>12</v>
      </c>
      <c r="E123" s="37" t="s">
        <v>13</v>
      </c>
      <c r="F123" s="37" t="s">
        <v>102</v>
      </c>
      <c r="G123" s="37" t="s">
        <v>103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130</v>
      </c>
      <c r="D124" s="25" t="s">
        <v>43</v>
      </c>
      <c r="E124" s="82" t="s">
        <v>131</v>
      </c>
      <c r="F124" s="82" t="s">
        <v>26</v>
      </c>
      <c r="G124" s="83" t="s">
        <v>132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32</v>
      </c>
      <c r="D125" s="74" t="s">
        <v>33</v>
      </c>
      <c r="E125" s="74" t="s">
        <v>126</v>
      </c>
      <c r="F125" s="74" t="s">
        <v>28</v>
      </c>
      <c r="G125" s="74" t="s">
        <v>123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30</v>
      </c>
      <c r="D126" s="37" t="s">
        <v>12</v>
      </c>
      <c r="E126" s="37" t="s">
        <v>13</v>
      </c>
      <c r="F126" s="38" t="s">
        <v>28</v>
      </c>
      <c r="G126" s="37" t="s">
        <v>98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130</v>
      </c>
      <c r="D127" s="25" t="s">
        <v>43</v>
      </c>
      <c r="E127" s="82" t="s">
        <v>133</v>
      </c>
      <c r="F127" s="82" t="s">
        <v>26</v>
      </c>
      <c r="G127" s="83" t="s">
        <v>132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16</v>
      </c>
      <c r="D128" s="37" t="s">
        <v>12</v>
      </c>
      <c r="E128" s="37" t="s">
        <v>13</v>
      </c>
      <c r="F128" s="38" t="s">
        <v>26</v>
      </c>
      <c r="G128" s="39" t="s">
        <v>104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130</v>
      </c>
      <c r="D129" s="25" t="s">
        <v>43</v>
      </c>
      <c r="E129" s="82" t="s">
        <v>134</v>
      </c>
      <c r="F129" s="82" t="s">
        <v>26</v>
      </c>
      <c r="G129" s="83" t="s">
        <v>132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25</v>
      </c>
      <c r="D130" s="37" t="s">
        <v>12</v>
      </c>
      <c r="E130" s="37" t="s">
        <v>13</v>
      </c>
      <c r="F130" s="38" t="s">
        <v>26</v>
      </c>
      <c r="G130" s="39" t="s">
        <v>104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30</v>
      </c>
      <c r="D131" s="37" t="s">
        <v>12</v>
      </c>
      <c r="E131" s="37" t="s">
        <v>13</v>
      </c>
      <c r="F131" s="38" t="s">
        <v>26</v>
      </c>
      <c r="G131" s="39" t="s">
        <v>31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16</v>
      </c>
      <c r="D132" s="37" t="s">
        <v>12</v>
      </c>
      <c r="E132" s="37" t="s">
        <v>13</v>
      </c>
      <c r="F132" s="37" t="s">
        <v>105</v>
      </c>
      <c r="G132" s="40" t="s">
        <v>208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32</v>
      </c>
      <c r="D133" s="74" t="s">
        <v>33</v>
      </c>
      <c r="E133" s="74" t="s">
        <v>129</v>
      </c>
      <c r="F133" s="74" t="s">
        <v>26</v>
      </c>
      <c r="G133" s="74" t="s">
        <v>124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11</v>
      </c>
      <c r="D134" s="37" t="s">
        <v>12</v>
      </c>
      <c r="E134" s="37" t="s">
        <v>13</v>
      </c>
      <c r="F134" s="38" t="s">
        <v>105</v>
      </c>
      <c r="G134" s="39" t="s">
        <v>208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32</v>
      </c>
      <c r="D135" s="74" t="s">
        <v>33</v>
      </c>
      <c r="E135" s="74" t="s">
        <v>128</v>
      </c>
      <c r="F135" s="74" t="s">
        <v>26</v>
      </c>
      <c r="G135" s="74" t="s">
        <v>124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19</v>
      </c>
      <c r="D136" s="37" t="s">
        <v>12</v>
      </c>
      <c r="E136" s="37" t="s">
        <v>13</v>
      </c>
      <c r="F136" s="38" t="s">
        <v>105</v>
      </c>
      <c r="G136" s="39" t="s">
        <v>208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11</v>
      </c>
      <c r="D137" s="37" t="s">
        <v>12</v>
      </c>
      <c r="E137" s="37" t="s">
        <v>13</v>
      </c>
      <c r="F137" s="38" t="s">
        <v>26</v>
      </c>
      <c r="G137" s="39" t="s">
        <v>31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19</v>
      </c>
      <c r="D138" s="37" t="s">
        <v>12</v>
      </c>
      <c r="E138" s="37" t="s">
        <v>13</v>
      </c>
      <c r="F138" s="38" t="s">
        <v>100</v>
      </c>
      <c r="G138" s="39" t="s">
        <v>101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83</v>
      </c>
      <c r="D139" s="25" t="s">
        <v>43</v>
      </c>
      <c r="E139" s="82" t="s">
        <v>36</v>
      </c>
      <c r="F139" s="82" t="s">
        <v>26</v>
      </c>
      <c r="G139" s="83" t="s">
        <v>37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16</v>
      </c>
      <c r="D140" s="37" t="s">
        <v>12</v>
      </c>
      <c r="E140" s="37" t="s">
        <v>13</v>
      </c>
      <c r="F140" s="37" t="s">
        <v>28</v>
      </c>
      <c r="G140" s="37" t="s">
        <v>106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19</v>
      </c>
      <c r="D141" s="37" t="s">
        <v>12</v>
      </c>
      <c r="E141" s="37" t="s">
        <v>13</v>
      </c>
      <c r="F141" s="37" t="s">
        <v>66</v>
      </c>
      <c r="G141" s="40" t="s">
        <v>103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11</v>
      </c>
      <c r="D142" s="37" t="s">
        <v>12</v>
      </c>
      <c r="E142" s="37" t="s">
        <v>13</v>
      </c>
      <c r="F142" s="37" t="s">
        <v>102</v>
      </c>
      <c r="G142" s="37" t="s">
        <v>103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16</v>
      </c>
      <c r="D143" s="37" t="s">
        <v>12</v>
      </c>
      <c r="E143" s="37" t="s">
        <v>48</v>
      </c>
      <c r="F143" s="38" t="s">
        <v>108</v>
      </c>
      <c r="G143" s="39" t="s">
        <v>107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30</v>
      </c>
      <c r="D144" s="37" t="s">
        <v>12</v>
      </c>
      <c r="E144" s="37" t="s">
        <v>13</v>
      </c>
      <c r="F144" s="37" t="s">
        <v>102</v>
      </c>
      <c r="G144" s="37" t="s">
        <v>103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130</v>
      </c>
      <c r="D145" s="25" t="s">
        <v>43</v>
      </c>
      <c r="E145" s="82" t="s">
        <v>36</v>
      </c>
      <c r="F145" s="82" t="s">
        <v>28</v>
      </c>
      <c r="G145" s="83" t="s">
        <v>135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130</v>
      </c>
      <c r="D146" s="25" t="s">
        <v>43</v>
      </c>
      <c r="E146" s="82" t="s">
        <v>36</v>
      </c>
      <c r="F146" s="82" t="s">
        <v>28</v>
      </c>
      <c r="G146" s="83" t="s">
        <v>135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83</v>
      </c>
      <c r="D147" s="25" t="s">
        <v>43</v>
      </c>
      <c r="E147" s="82" t="s">
        <v>36</v>
      </c>
      <c r="F147" s="82" t="s">
        <v>28</v>
      </c>
      <c r="G147" s="83" t="s">
        <v>135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23</v>
      </c>
      <c r="D148" s="37" t="s">
        <v>12</v>
      </c>
      <c r="E148" s="37" t="s">
        <v>13</v>
      </c>
      <c r="F148" s="37" t="s">
        <v>109</v>
      </c>
      <c r="G148" s="37" t="s">
        <v>27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16</v>
      </c>
      <c r="D149" s="37" t="s">
        <v>12</v>
      </c>
      <c r="E149" s="37" t="s">
        <v>13</v>
      </c>
      <c r="F149" s="38" t="s">
        <v>26</v>
      </c>
      <c r="G149" s="39" t="s">
        <v>27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23</v>
      </c>
      <c r="D150" s="37" t="s">
        <v>12</v>
      </c>
      <c r="E150" s="37" t="s">
        <v>110</v>
      </c>
      <c r="F150" s="37" t="s">
        <v>17</v>
      </c>
      <c r="G150" s="37" t="s">
        <v>18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19</v>
      </c>
      <c r="D151" s="37" t="s">
        <v>12</v>
      </c>
      <c r="E151" s="37" t="s">
        <v>13</v>
      </c>
      <c r="F151" s="38" t="s">
        <v>111</v>
      </c>
      <c r="G151" s="37" t="s">
        <v>68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16</v>
      </c>
      <c r="D152" s="37" t="s">
        <v>12</v>
      </c>
      <c r="E152" s="37" t="s">
        <v>13</v>
      </c>
      <c r="F152" s="37" t="s">
        <v>24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30</v>
      </c>
      <c r="D153" s="37" t="s">
        <v>12</v>
      </c>
      <c r="E153" s="37" t="s">
        <v>13</v>
      </c>
      <c r="F153" s="37" t="s">
        <v>26</v>
      </c>
      <c r="G153" s="40" t="s">
        <v>104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25</v>
      </c>
      <c r="D154" s="37" t="s">
        <v>12</v>
      </c>
      <c r="E154" s="37" t="s">
        <v>13</v>
      </c>
      <c r="F154" s="37" t="s">
        <v>28</v>
      </c>
      <c r="G154" s="40" t="s">
        <v>95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32</v>
      </c>
      <c r="D155" s="74" t="s">
        <v>33</v>
      </c>
      <c r="E155" s="74" t="s">
        <v>34</v>
      </c>
      <c r="F155" s="76" t="s">
        <v>24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130</v>
      </c>
      <c r="D156" s="25" t="s">
        <v>43</v>
      </c>
      <c r="E156" s="82" t="s">
        <v>136</v>
      </c>
      <c r="F156" s="82" t="s">
        <v>24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16</v>
      </c>
      <c r="D157" s="37" t="s">
        <v>12</v>
      </c>
      <c r="E157" s="37" t="s">
        <v>13</v>
      </c>
      <c r="F157" s="37" t="s">
        <v>24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23</v>
      </c>
      <c r="D158" s="37" t="s">
        <v>12</v>
      </c>
      <c r="E158" s="37" t="s">
        <v>112</v>
      </c>
      <c r="F158" s="38" t="s">
        <v>17</v>
      </c>
      <c r="G158" s="39" t="s">
        <v>18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19</v>
      </c>
      <c r="D159" s="37" t="s">
        <v>12</v>
      </c>
      <c r="E159" s="37" t="s">
        <v>13</v>
      </c>
      <c r="F159" s="37" t="s">
        <v>24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16</v>
      </c>
      <c r="D160" s="37" t="s">
        <v>12</v>
      </c>
      <c r="E160" s="37" t="s">
        <v>13</v>
      </c>
      <c r="F160" s="37" t="s">
        <v>113</v>
      </c>
      <c r="G160" s="40" t="s">
        <v>18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32</v>
      </c>
      <c r="D161" s="74" t="s">
        <v>33</v>
      </c>
      <c r="E161" s="74" t="s">
        <v>34</v>
      </c>
      <c r="F161" s="76" t="s">
        <v>24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83</v>
      </c>
      <c r="D162" s="25" t="s">
        <v>43</v>
      </c>
      <c r="E162" s="82" t="s">
        <v>136</v>
      </c>
      <c r="F162" s="82" t="s">
        <v>24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19</v>
      </c>
      <c r="D163" s="37" t="s">
        <v>12</v>
      </c>
      <c r="E163" s="37" t="s">
        <v>13</v>
      </c>
      <c r="F163" s="37" t="s">
        <v>28</v>
      </c>
      <c r="G163" s="40" t="s">
        <v>95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11</v>
      </c>
      <c r="D164" s="37" t="s">
        <v>12</v>
      </c>
      <c r="E164" s="37" t="s">
        <v>13</v>
      </c>
      <c r="F164" s="37" t="s">
        <v>56</v>
      </c>
      <c r="G164" s="40" t="s">
        <v>114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30</v>
      </c>
      <c r="D165" s="37" t="s">
        <v>12</v>
      </c>
      <c r="E165" s="37" t="s">
        <v>13</v>
      </c>
      <c r="F165" s="37" t="s">
        <v>56</v>
      </c>
      <c r="G165" s="37" t="s">
        <v>114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23</v>
      </c>
      <c r="D166" s="37" t="s">
        <v>12</v>
      </c>
      <c r="E166" s="37" t="s">
        <v>13</v>
      </c>
      <c r="F166" s="37" t="s">
        <v>109</v>
      </c>
      <c r="G166" s="40" t="s">
        <v>27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130</v>
      </c>
      <c r="D167" s="25" t="s">
        <v>43</v>
      </c>
      <c r="E167" s="82" t="s">
        <v>79</v>
      </c>
      <c r="F167" s="82" t="s">
        <v>78</v>
      </c>
      <c r="G167" s="83" t="s">
        <v>137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11</v>
      </c>
      <c r="D168" s="37" t="s">
        <v>12</v>
      </c>
      <c r="E168" s="37" t="s">
        <v>13</v>
      </c>
      <c r="F168" s="37" t="s">
        <v>56</v>
      </c>
      <c r="G168" s="37" t="s">
        <v>114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130</v>
      </c>
      <c r="D169" s="25" t="s">
        <v>43</v>
      </c>
      <c r="E169" s="82" t="s">
        <v>79</v>
      </c>
      <c r="F169" s="82" t="s">
        <v>78</v>
      </c>
      <c r="G169" s="83" t="s">
        <v>137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19</v>
      </c>
      <c r="D170" s="37" t="s">
        <v>12</v>
      </c>
      <c r="E170" s="37" t="s">
        <v>13</v>
      </c>
      <c r="F170" s="37" t="s">
        <v>115</v>
      </c>
      <c r="G170" s="40" t="s">
        <v>116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25</v>
      </c>
      <c r="D171" s="37" t="s">
        <v>12</v>
      </c>
      <c r="E171" s="37" t="s">
        <v>13</v>
      </c>
      <c r="F171" s="37" t="s">
        <v>26</v>
      </c>
      <c r="G171" s="40" t="s">
        <v>31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19</v>
      </c>
      <c r="D172" s="37" t="s">
        <v>12</v>
      </c>
      <c r="E172" s="37" t="s">
        <v>13</v>
      </c>
      <c r="F172" s="38" t="s">
        <v>26</v>
      </c>
      <c r="G172" s="39" t="s">
        <v>31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130</v>
      </c>
      <c r="D173" s="25" t="s">
        <v>43</v>
      </c>
      <c r="E173" s="82" t="s">
        <v>138</v>
      </c>
      <c r="F173" s="82" t="s">
        <v>142</v>
      </c>
      <c r="G173" s="83" t="s">
        <v>139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19</v>
      </c>
      <c r="D174" s="37" t="s">
        <v>12</v>
      </c>
      <c r="E174" s="37" t="s">
        <v>72</v>
      </c>
      <c r="F174" s="37" t="s">
        <v>75</v>
      </c>
      <c r="G174" s="37" t="s">
        <v>76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25</v>
      </c>
      <c r="D175" s="37" t="s">
        <v>12</v>
      </c>
      <c r="E175" s="37" t="s">
        <v>13</v>
      </c>
      <c r="F175" s="37" t="s">
        <v>56</v>
      </c>
      <c r="G175" s="37" t="s">
        <v>117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23</v>
      </c>
      <c r="D176" s="37" t="s">
        <v>12</v>
      </c>
      <c r="E176" s="37" t="s">
        <v>118</v>
      </c>
      <c r="F176" s="37" t="s">
        <v>75</v>
      </c>
      <c r="G176" s="37" t="s">
        <v>76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11</v>
      </c>
      <c r="D177" s="37" t="s">
        <v>120</v>
      </c>
      <c r="E177" s="37" t="s">
        <v>119</v>
      </c>
      <c r="F177" s="37" t="s">
        <v>24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19</v>
      </c>
      <c r="D178" s="37" t="s">
        <v>12</v>
      </c>
      <c r="E178" s="37" t="s">
        <v>118</v>
      </c>
      <c r="F178" s="38" t="s">
        <v>63</v>
      </c>
      <c r="G178" s="39" t="s">
        <v>76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23</v>
      </c>
      <c r="D179" s="37" t="s">
        <v>12</v>
      </c>
      <c r="E179" s="37" t="s">
        <v>118</v>
      </c>
      <c r="F179" s="37" t="s">
        <v>63</v>
      </c>
      <c r="G179" s="37" t="s">
        <v>76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30</v>
      </c>
      <c r="D180" s="37" t="s">
        <v>12</v>
      </c>
      <c r="E180" s="37" t="s">
        <v>13</v>
      </c>
      <c r="F180" s="37" t="s">
        <v>56</v>
      </c>
      <c r="G180" s="37" t="s">
        <v>117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25</v>
      </c>
      <c r="D181" s="37" t="s">
        <v>12</v>
      </c>
      <c r="E181" s="37" t="s">
        <v>118</v>
      </c>
      <c r="F181" s="37" t="s">
        <v>63</v>
      </c>
      <c r="G181" s="37" t="s">
        <v>76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130</v>
      </c>
      <c r="D182" s="25" t="s">
        <v>43</v>
      </c>
      <c r="E182" s="82" t="s">
        <v>140</v>
      </c>
      <c r="F182" s="82" t="s">
        <v>24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16</v>
      </c>
      <c r="D183" s="37" t="s">
        <v>12</v>
      </c>
      <c r="E183" s="37" t="s">
        <v>13</v>
      </c>
      <c r="F183" s="38" t="s">
        <v>24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30</v>
      </c>
      <c r="D184" s="37" t="s">
        <v>12</v>
      </c>
      <c r="E184" s="37" t="s">
        <v>13</v>
      </c>
      <c r="F184" s="38" t="s">
        <v>56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32</v>
      </c>
      <c r="D185" s="74" t="s">
        <v>33</v>
      </c>
      <c r="E185" s="74" t="s">
        <v>34</v>
      </c>
      <c r="F185" s="74" t="s">
        <v>24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130</v>
      </c>
      <c r="D186" s="25" t="s">
        <v>43</v>
      </c>
      <c r="E186" s="82" t="s">
        <v>36</v>
      </c>
      <c r="F186" s="82" t="s">
        <v>143</v>
      </c>
      <c r="G186" s="83" t="s">
        <v>141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32</v>
      </c>
      <c r="D187" s="25" t="s">
        <v>33</v>
      </c>
      <c r="E187" s="25" t="s">
        <v>34</v>
      </c>
      <c r="F187" s="79" t="s">
        <v>24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130</v>
      </c>
      <c r="D188" s="25" t="s">
        <v>43</v>
      </c>
      <c r="E188" s="82" t="s">
        <v>140</v>
      </c>
      <c r="F188" s="82" t="s">
        <v>24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11</v>
      </c>
      <c r="D189" s="37" t="s">
        <v>12</v>
      </c>
      <c r="E189" s="37" t="s">
        <v>13</v>
      </c>
      <c r="F189" s="38" t="s">
        <v>24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25</v>
      </c>
      <c r="D190" s="37" t="s">
        <v>12</v>
      </c>
      <c r="E190" s="37" t="s">
        <v>13</v>
      </c>
      <c r="F190" s="38" t="s">
        <v>56</v>
      </c>
      <c r="G190" s="39" t="s">
        <v>117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32</v>
      </c>
      <c r="D191" s="74" t="s">
        <v>33</v>
      </c>
      <c r="E191" s="74" t="s">
        <v>127</v>
      </c>
      <c r="F191" s="74" t="s">
        <v>26</v>
      </c>
      <c r="G191" s="74" t="s">
        <v>125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19</v>
      </c>
      <c r="D192" s="37" t="s">
        <v>12</v>
      </c>
      <c r="E192" s="37" t="s">
        <v>13</v>
      </c>
      <c r="F192" s="38" t="s">
        <v>78</v>
      </c>
      <c r="G192" s="23" t="s">
        <v>121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16</v>
      </c>
      <c r="D193" s="37" t="s">
        <v>12</v>
      </c>
      <c r="E193" s="37" t="s">
        <v>13</v>
      </c>
      <c r="F193" s="37" t="s">
        <v>78</v>
      </c>
      <c r="G193" s="37" t="s">
        <v>121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32</v>
      </c>
      <c r="D194" s="74" t="s">
        <v>33</v>
      </c>
      <c r="E194" s="74" t="s">
        <v>126</v>
      </c>
      <c r="F194" s="76" t="s">
        <v>28</v>
      </c>
      <c r="G194" s="74" t="s">
        <v>99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11</v>
      </c>
      <c r="D195" s="37" t="s">
        <v>12</v>
      </c>
      <c r="E195" s="37" t="s">
        <v>13</v>
      </c>
      <c r="F195" s="37" t="s">
        <v>24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23</v>
      </c>
      <c r="D196" s="37" t="s">
        <v>12</v>
      </c>
      <c r="E196" s="37" t="s">
        <v>13</v>
      </c>
      <c r="F196" s="38" t="s">
        <v>28</v>
      </c>
      <c r="G196" s="39" t="s">
        <v>209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19</v>
      </c>
      <c r="D197" s="37" t="s">
        <v>12</v>
      </c>
      <c r="E197" s="37" t="s">
        <v>13</v>
      </c>
      <c r="F197" s="38" t="s">
        <v>28</v>
      </c>
      <c r="G197" s="39" t="s">
        <v>144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25</v>
      </c>
      <c r="D198" s="37" t="s">
        <v>12</v>
      </c>
      <c r="E198" s="37" t="s">
        <v>13</v>
      </c>
      <c r="F198" s="38" t="s">
        <v>28</v>
      </c>
      <c r="G198" s="39" t="s">
        <v>144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35</v>
      </c>
      <c r="D199" s="2" t="s">
        <v>43</v>
      </c>
      <c r="E199" s="2" t="s">
        <v>36</v>
      </c>
      <c r="F199" s="2" t="s">
        <v>26</v>
      </c>
      <c r="G199" s="64" t="s">
        <v>41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11</v>
      </c>
      <c r="D200" s="37" t="s">
        <v>12</v>
      </c>
      <c r="E200" s="37" t="s">
        <v>13</v>
      </c>
      <c r="F200" s="38" t="s">
        <v>28</v>
      </c>
      <c r="G200" s="39" t="s">
        <v>144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32</v>
      </c>
      <c r="D201" s="74" t="s">
        <v>33</v>
      </c>
      <c r="E201" s="74" t="s">
        <v>126</v>
      </c>
      <c r="F201" s="74" t="s">
        <v>28</v>
      </c>
      <c r="G201" s="74" t="s">
        <v>150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23</v>
      </c>
      <c r="D202" s="37" t="s">
        <v>12</v>
      </c>
      <c r="E202" s="37" t="s">
        <v>13</v>
      </c>
      <c r="F202" s="38" t="s">
        <v>28</v>
      </c>
      <c r="G202" s="39" t="s">
        <v>144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35</v>
      </c>
      <c r="D203" s="2" t="s">
        <v>43</v>
      </c>
      <c r="E203" s="2" t="s">
        <v>40</v>
      </c>
      <c r="F203" s="2" t="s">
        <v>28</v>
      </c>
      <c r="G203" s="85" t="s">
        <v>155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32</v>
      </c>
      <c r="D204" s="74" t="s">
        <v>33</v>
      </c>
      <c r="E204" s="74" t="s">
        <v>126</v>
      </c>
      <c r="F204" s="76" t="s">
        <v>28</v>
      </c>
      <c r="G204" s="74" t="s">
        <v>99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16</v>
      </c>
      <c r="D205" s="37" t="s">
        <v>12</v>
      </c>
      <c r="E205" s="37" t="s">
        <v>13</v>
      </c>
      <c r="F205" s="37" t="s">
        <v>24</v>
      </c>
      <c r="G205" s="37" t="s">
        <v>145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30</v>
      </c>
      <c r="D206" s="37" t="s">
        <v>12</v>
      </c>
      <c r="E206" s="37" t="s">
        <v>13</v>
      </c>
      <c r="F206" s="37" t="s">
        <v>24</v>
      </c>
      <c r="G206" s="37" t="s">
        <v>209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19</v>
      </c>
      <c r="D207" s="37" t="s">
        <v>12</v>
      </c>
      <c r="E207" s="37" t="s">
        <v>13</v>
      </c>
      <c r="F207" s="37" t="s">
        <v>142</v>
      </c>
      <c r="G207" s="37" t="s">
        <v>146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35</v>
      </c>
      <c r="D208" s="2" t="s">
        <v>43</v>
      </c>
      <c r="E208" s="2" t="s">
        <v>40</v>
      </c>
      <c r="F208" s="2" t="s">
        <v>28</v>
      </c>
      <c r="G208" s="85" t="s">
        <v>155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11</v>
      </c>
      <c r="D209" s="37" t="s">
        <v>12</v>
      </c>
      <c r="E209" s="37" t="s">
        <v>13</v>
      </c>
      <c r="F209" s="38" t="s">
        <v>28</v>
      </c>
      <c r="G209" s="39" t="s">
        <v>209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35</v>
      </c>
      <c r="D210" s="2" t="s">
        <v>43</v>
      </c>
      <c r="E210" s="2" t="s">
        <v>40</v>
      </c>
      <c r="F210" s="2" t="s">
        <v>28</v>
      </c>
      <c r="G210" s="85" t="s">
        <v>155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153</v>
      </c>
      <c r="D211" s="74" t="s">
        <v>33</v>
      </c>
      <c r="E211" s="74" t="s">
        <v>127</v>
      </c>
      <c r="F211" s="74" t="s">
        <v>26</v>
      </c>
      <c r="G211" s="74" t="s">
        <v>125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23</v>
      </c>
      <c r="D212" s="37" t="s">
        <v>12</v>
      </c>
      <c r="E212" s="37" t="s">
        <v>13</v>
      </c>
      <c r="F212" s="38" t="s">
        <v>142</v>
      </c>
      <c r="G212" s="39" t="s">
        <v>146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30</v>
      </c>
      <c r="D213" s="37" t="s">
        <v>12</v>
      </c>
      <c r="E213" s="37" t="s">
        <v>13</v>
      </c>
      <c r="F213" s="37" t="s">
        <v>142</v>
      </c>
      <c r="G213" s="37" t="s">
        <v>146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25</v>
      </c>
      <c r="D214" s="37" t="s">
        <v>12</v>
      </c>
      <c r="E214" s="37" t="s">
        <v>13</v>
      </c>
      <c r="F214" s="38" t="s">
        <v>28</v>
      </c>
      <c r="G214" s="39" t="s">
        <v>209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153</v>
      </c>
      <c r="D215" s="74" t="s">
        <v>33</v>
      </c>
      <c r="E215" s="74" t="s">
        <v>127</v>
      </c>
      <c r="F215" s="74" t="s">
        <v>56</v>
      </c>
      <c r="G215" s="74" t="s">
        <v>151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32</v>
      </c>
      <c r="D216" s="74" t="s">
        <v>33</v>
      </c>
      <c r="E216" s="74" t="s">
        <v>126</v>
      </c>
      <c r="F216" s="74" t="s">
        <v>28</v>
      </c>
      <c r="G216" s="74" t="s">
        <v>152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35</v>
      </c>
      <c r="D217" s="2" t="s">
        <v>43</v>
      </c>
      <c r="E217" s="2" t="s">
        <v>40</v>
      </c>
      <c r="F217" s="2" t="s">
        <v>28</v>
      </c>
      <c r="G217" s="85" t="s">
        <v>155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16</v>
      </c>
      <c r="D218" s="37" t="s">
        <v>12</v>
      </c>
      <c r="E218" s="37" t="s">
        <v>13</v>
      </c>
      <c r="F218" s="38" t="s">
        <v>28</v>
      </c>
      <c r="G218" s="39" t="s">
        <v>147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19</v>
      </c>
      <c r="D219" s="37" t="s">
        <v>12</v>
      </c>
      <c r="E219" s="37" t="s">
        <v>13</v>
      </c>
      <c r="F219" s="38" t="s">
        <v>28</v>
      </c>
      <c r="G219" s="39" t="s">
        <v>148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30</v>
      </c>
      <c r="D220" s="37" t="s">
        <v>12</v>
      </c>
      <c r="E220" s="37" t="s">
        <v>13</v>
      </c>
      <c r="F220" s="38" t="s">
        <v>28</v>
      </c>
      <c r="G220" s="39" t="s">
        <v>29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19</v>
      </c>
      <c r="D221" s="37" t="s">
        <v>12</v>
      </c>
      <c r="E221" s="37" t="s">
        <v>13</v>
      </c>
      <c r="F221" s="38" t="s">
        <v>28</v>
      </c>
      <c r="G221" s="39" t="s">
        <v>55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25</v>
      </c>
      <c r="D222" s="37" t="s">
        <v>12</v>
      </c>
      <c r="E222" s="37" t="s">
        <v>13</v>
      </c>
      <c r="F222" s="38" t="s">
        <v>28</v>
      </c>
      <c r="G222" s="39" t="s">
        <v>55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19</v>
      </c>
      <c r="D223" s="37" t="s">
        <v>12</v>
      </c>
      <c r="E223" s="37" t="s">
        <v>13</v>
      </c>
      <c r="F223" s="38" t="s">
        <v>28</v>
      </c>
      <c r="G223" s="39" t="s">
        <v>55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35</v>
      </c>
      <c r="D224" s="2" t="s">
        <v>43</v>
      </c>
      <c r="E224" s="2" t="s">
        <v>36</v>
      </c>
      <c r="F224" s="2" t="s">
        <v>56</v>
      </c>
      <c r="G224" s="85" t="s">
        <v>154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35</v>
      </c>
      <c r="D225" s="2" t="s">
        <v>43</v>
      </c>
      <c r="E225" s="2" t="s">
        <v>36</v>
      </c>
      <c r="F225" s="2" t="s">
        <v>56</v>
      </c>
      <c r="G225" s="85" t="s">
        <v>154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11</v>
      </c>
      <c r="D226" s="37" t="s">
        <v>12</v>
      </c>
      <c r="E226" s="37" t="s">
        <v>13</v>
      </c>
      <c r="F226" s="38" t="s">
        <v>28</v>
      </c>
      <c r="G226" s="39" t="s">
        <v>55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25</v>
      </c>
      <c r="D227" s="37" t="s">
        <v>12</v>
      </c>
      <c r="E227" s="37" t="s">
        <v>13</v>
      </c>
      <c r="F227" s="38" t="s">
        <v>28</v>
      </c>
      <c r="G227" s="39" t="s">
        <v>65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11</v>
      </c>
      <c r="D228" s="37" t="s">
        <v>12</v>
      </c>
      <c r="E228" s="37" t="s">
        <v>13</v>
      </c>
      <c r="F228" s="37" t="s">
        <v>26</v>
      </c>
      <c r="G228" s="37" t="s">
        <v>99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19</v>
      </c>
      <c r="D229" s="37" t="s">
        <v>12</v>
      </c>
      <c r="E229" s="37" t="s">
        <v>13</v>
      </c>
      <c r="F229" s="37" t="s">
        <v>26</v>
      </c>
      <c r="G229" s="37" t="s">
        <v>99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23</v>
      </c>
      <c r="D230" s="37" t="s">
        <v>12</v>
      </c>
      <c r="E230" s="37" t="s">
        <v>13</v>
      </c>
      <c r="F230" s="37" t="s">
        <v>149</v>
      </c>
      <c r="G230" s="37" t="s">
        <v>117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11</v>
      </c>
      <c r="D231" s="12" t="s">
        <v>12</v>
      </c>
      <c r="E231" s="12" t="s">
        <v>13</v>
      </c>
      <c r="F231" s="12" t="s">
        <v>156</v>
      </c>
      <c r="G231" s="13" t="s">
        <v>157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153</v>
      </c>
      <c r="D232" s="74" t="s">
        <v>33</v>
      </c>
      <c r="E232" s="74" t="s">
        <v>172</v>
      </c>
      <c r="F232" s="74" t="s">
        <v>102</v>
      </c>
      <c r="G232" s="74" t="s">
        <v>171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30</v>
      </c>
      <c r="D233" s="12" t="s">
        <v>12</v>
      </c>
      <c r="E233" s="12" t="s">
        <v>13</v>
      </c>
      <c r="F233" s="12" t="s">
        <v>14</v>
      </c>
      <c r="G233" s="13" t="s">
        <v>15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19</v>
      </c>
      <c r="D234" s="12" t="s">
        <v>12</v>
      </c>
      <c r="E234" s="12" t="s">
        <v>13</v>
      </c>
      <c r="F234" s="27" t="s">
        <v>14</v>
      </c>
      <c r="G234" s="50" t="s">
        <v>15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11</v>
      </c>
      <c r="D235" s="12" t="s">
        <v>12</v>
      </c>
      <c r="E235" s="12" t="s">
        <v>158</v>
      </c>
      <c r="F235" s="12" t="s">
        <v>159</v>
      </c>
      <c r="G235" s="13" t="s">
        <v>160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23</v>
      </c>
      <c r="D236" s="12" t="s">
        <v>12</v>
      </c>
      <c r="E236" s="12" t="s">
        <v>13</v>
      </c>
      <c r="F236" s="27" t="s">
        <v>26</v>
      </c>
      <c r="G236" s="50" t="s">
        <v>55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11</v>
      </c>
      <c r="D237" s="37" t="s">
        <v>12</v>
      </c>
      <c r="E237" s="37" t="s">
        <v>13</v>
      </c>
      <c r="F237" s="38" t="s">
        <v>26</v>
      </c>
      <c r="G237" s="40" t="s">
        <v>55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11</v>
      </c>
      <c r="D238" s="12" t="s">
        <v>12</v>
      </c>
      <c r="E238" s="12" t="s">
        <v>13</v>
      </c>
      <c r="F238" s="27" t="s">
        <v>70</v>
      </c>
      <c r="G238" s="50" t="s">
        <v>161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25</v>
      </c>
      <c r="D239" s="37" t="s">
        <v>12</v>
      </c>
      <c r="E239" s="37" t="s">
        <v>13</v>
      </c>
      <c r="F239" s="38" t="s">
        <v>26</v>
      </c>
      <c r="G239" s="40" t="s">
        <v>55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83</v>
      </c>
      <c r="D240" s="12" t="s">
        <v>43</v>
      </c>
      <c r="E240" s="2" t="s">
        <v>36</v>
      </c>
      <c r="F240" s="2" t="s">
        <v>22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30</v>
      </c>
      <c r="D241" s="12" t="s">
        <v>12</v>
      </c>
      <c r="E241" s="12" t="s">
        <v>13</v>
      </c>
      <c r="F241" s="27" t="s">
        <v>56</v>
      </c>
      <c r="G241" s="50" t="s">
        <v>99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11</v>
      </c>
      <c r="D242" s="37" t="s">
        <v>12</v>
      </c>
      <c r="E242" s="37" t="s">
        <v>13</v>
      </c>
      <c r="F242" s="37" t="s">
        <v>26</v>
      </c>
      <c r="G242" s="37" t="s">
        <v>49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16</v>
      </c>
      <c r="D243" s="37" t="s">
        <v>12</v>
      </c>
      <c r="E243" s="37" t="s">
        <v>13</v>
      </c>
      <c r="F243" s="37" t="s">
        <v>26</v>
      </c>
      <c r="G243" s="37" t="s">
        <v>49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32</v>
      </c>
      <c r="D244" s="74" t="s">
        <v>33</v>
      </c>
      <c r="E244" s="74" t="s">
        <v>34</v>
      </c>
      <c r="F244" s="76" t="s">
        <v>22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25</v>
      </c>
      <c r="D245" s="37" t="s">
        <v>12</v>
      </c>
      <c r="E245" s="37" t="s">
        <v>13</v>
      </c>
      <c r="F245" s="38" t="s">
        <v>162</v>
      </c>
      <c r="G245" s="37" t="s">
        <v>163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11</v>
      </c>
      <c r="D246" s="37" t="s">
        <v>12</v>
      </c>
      <c r="E246" s="37" t="s">
        <v>13</v>
      </c>
      <c r="F246" s="38" t="s">
        <v>14</v>
      </c>
      <c r="G246" s="37" t="s">
        <v>15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23</v>
      </c>
      <c r="D247" s="12" t="s">
        <v>12</v>
      </c>
      <c r="E247" s="12" t="s">
        <v>13</v>
      </c>
      <c r="F247" s="27" t="s">
        <v>56</v>
      </c>
      <c r="G247" s="50" t="s">
        <v>57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32</v>
      </c>
      <c r="D248" s="74" t="s">
        <v>33</v>
      </c>
      <c r="E248" s="74" t="s">
        <v>34</v>
      </c>
      <c r="F248" s="76" t="s">
        <v>22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35</v>
      </c>
      <c r="D249" s="12" t="s">
        <v>43</v>
      </c>
      <c r="E249" s="2" t="s">
        <v>36</v>
      </c>
      <c r="F249" s="2" t="s">
        <v>22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16</v>
      </c>
      <c r="D250" s="12" t="s">
        <v>12</v>
      </c>
      <c r="E250" s="12" t="s">
        <v>13</v>
      </c>
      <c r="F250" s="27" t="s">
        <v>22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35</v>
      </c>
      <c r="D251" s="12" t="s">
        <v>43</v>
      </c>
      <c r="E251" s="2" t="s">
        <v>36</v>
      </c>
      <c r="F251" s="2" t="s">
        <v>22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11</v>
      </c>
      <c r="D252" s="12" t="s">
        <v>12</v>
      </c>
      <c r="E252" s="12" t="s">
        <v>13</v>
      </c>
      <c r="F252" s="27" t="s">
        <v>22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11</v>
      </c>
      <c r="D253" s="12" t="s">
        <v>12</v>
      </c>
      <c r="E253" s="12" t="s">
        <v>13</v>
      </c>
      <c r="F253" s="27" t="s">
        <v>164</v>
      </c>
      <c r="G253" s="50" t="s">
        <v>59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16</v>
      </c>
      <c r="D254" s="12" t="s">
        <v>12</v>
      </c>
      <c r="E254" s="12" t="s">
        <v>13</v>
      </c>
      <c r="F254" s="27" t="s">
        <v>26</v>
      </c>
      <c r="G254" s="50" t="s">
        <v>165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11</v>
      </c>
      <c r="D255" s="37" t="s">
        <v>12</v>
      </c>
      <c r="E255" s="12" t="s">
        <v>13</v>
      </c>
      <c r="F255" s="27" t="s">
        <v>166</v>
      </c>
      <c r="G255" s="27" t="s">
        <v>59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35</v>
      </c>
      <c r="D256" s="12" t="s">
        <v>43</v>
      </c>
      <c r="E256" s="2" t="s">
        <v>36</v>
      </c>
      <c r="F256" s="2" t="s">
        <v>22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19</v>
      </c>
      <c r="D257" s="12" t="s">
        <v>12</v>
      </c>
      <c r="E257" s="12" t="s">
        <v>13</v>
      </c>
      <c r="F257" s="27" t="s">
        <v>22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35</v>
      </c>
      <c r="D258" s="12" t="s">
        <v>43</v>
      </c>
      <c r="E258" s="2" t="s">
        <v>36</v>
      </c>
      <c r="F258" s="2" t="s">
        <v>22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30</v>
      </c>
      <c r="D259" s="12" t="s">
        <v>12</v>
      </c>
      <c r="E259" s="12" t="s">
        <v>13</v>
      </c>
      <c r="F259" s="27" t="s">
        <v>22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83</v>
      </c>
      <c r="D260" s="12" t="s">
        <v>43</v>
      </c>
      <c r="E260" s="2" t="s">
        <v>36</v>
      </c>
      <c r="F260" s="2" t="s">
        <v>22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25</v>
      </c>
      <c r="D261" s="37" t="s">
        <v>12</v>
      </c>
      <c r="E261" s="12" t="s">
        <v>167</v>
      </c>
      <c r="F261" s="27" t="s">
        <v>168</v>
      </c>
      <c r="G261" s="50" t="s">
        <v>68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35</v>
      </c>
      <c r="D262" s="12" t="s">
        <v>43</v>
      </c>
      <c r="E262" s="2" t="s">
        <v>36</v>
      </c>
      <c r="F262" s="2" t="s">
        <v>56</v>
      </c>
      <c r="G262" s="85" t="s">
        <v>82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35</v>
      </c>
      <c r="D263" s="12" t="s">
        <v>43</v>
      </c>
      <c r="E263" s="2" t="s">
        <v>36</v>
      </c>
      <c r="F263" s="2" t="s">
        <v>56</v>
      </c>
      <c r="G263" s="85" t="s">
        <v>82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35</v>
      </c>
      <c r="D264" s="12" t="s">
        <v>43</v>
      </c>
      <c r="E264" s="2" t="s">
        <v>36</v>
      </c>
      <c r="F264" s="2" t="s">
        <v>56</v>
      </c>
      <c r="G264" s="85" t="s">
        <v>82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16</v>
      </c>
      <c r="D265" s="12" t="s">
        <v>12</v>
      </c>
      <c r="E265" s="12" t="s">
        <v>13</v>
      </c>
      <c r="F265" s="27" t="s">
        <v>105</v>
      </c>
      <c r="G265" s="50" t="s">
        <v>169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30</v>
      </c>
      <c r="D266" s="37" t="s">
        <v>12</v>
      </c>
      <c r="E266" s="12" t="s">
        <v>13</v>
      </c>
      <c r="F266" s="27" t="s">
        <v>26</v>
      </c>
      <c r="G266" s="50" t="s">
        <v>165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23</v>
      </c>
      <c r="D267" s="37" t="s">
        <v>12</v>
      </c>
      <c r="E267" s="12" t="s">
        <v>13</v>
      </c>
      <c r="F267" s="27" t="s">
        <v>170</v>
      </c>
      <c r="G267" s="50" t="s">
        <v>68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35</v>
      </c>
      <c r="D268" s="12" t="s">
        <v>43</v>
      </c>
      <c r="E268" s="2" t="s">
        <v>36</v>
      </c>
      <c r="F268" s="2" t="s">
        <v>56</v>
      </c>
      <c r="G268" s="85" t="s">
        <v>82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35</v>
      </c>
      <c r="D269" s="12" t="s">
        <v>43</v>
      </c>
      <c r="E269" s="2" t="s">
        <v>36</v>
      </c>
      <c r="F269" s="2" t="s">
        <v>56</v>
      </c>
      <c r="G269" s="85" t="s">
        <v>82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35</v>
      </c>
      <c r="D270" s="12" t="s">
        <v>43</v>
      </c>
      <c r="E270" s="2" t="s">
        <v>36</v>
      </c>
      <c r="F270" s="2" t="s">
        <v>56</v>
      </c>
      <c r="G270" s="85" t="s">
        <v>82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25</v>
      </c>
      <c r="D271" s="12" t="s">
        <v>12</v>
      </c>
      <c r="E271" s="12" t="s">
        <v>13</v>
      </c>
      <c r="F271" s="27" t="s">
        <v>21</v>
      </c>
      <c r="G271" s="50" t="s">
        <v>20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16</v>
      </c>
      <c r="D272" s="12" t="s">
        <v>12</v>
      </c>
      <c r="E272" s="12" t="s">
        <v>13</v>
      </c>
      <c r="F272" s="27" t="s">
        <v>21</v>
      </c>
      <c r="G272" s="50" t="s">
        <v>20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19</v>
      </c>
      <c r="D273" s="12" t="s">
        <v>12</v>
      </c>
      <c r="E273" s="12" t="s">
        <v>13</v>
      </c>
      <c r="F273" s="12" t="s">
        <v>21</v>
      </c>
      <c r="G273" s="13" t="s">
        <v>20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32</v>
      </c>
      <c r="D274" s="12" t="s">
        <v>33</v>
      </c>
      <c r="E274" s="74"/>
      <c r="F274" s="14" t="s">
        <v>78</v>
      </c>
      <c r="G274" s="14" t="s">
        <v>92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32</v>
      </c>
      <c r="D275" s="12" t="s">
        <v>33</v>
      </c>
      <c r="E275" s="74"/>
      <c r="F275" s="89" t="s">
        <v>93</v>
      </c>
      <c r="G275" s="14" t="s">
        <v>92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25</v>
      </c>
      <c r="D276" s="37" t="s">
        <v>12</v>
      </c>
      <c r="E276" s="37" t="s">
        <v>13</v>
      </c>
      <c r="F276" s="37" t="s">
        <v>21</v>
      </c>
      <c r="G276" s="37" t="s">
        <v>20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19</v>
      </c>
      <c r="D277" s="12" t="s">
        <v>12</v>
      </c>
      <c r="E277" s="12" t="s">
        <v>13</v>
      </c>
      <c r="F277" s="12" t="s">
        <v>28</v>
      </c>
      <c r="G277" s="13" t="s">
        <v>147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23</v>
      </c>
      <c r="D278" s="37" t="s">
        <v>12</v>
      </c>
      <c r="E278" s="37" t="s">
        <v>13</v>
      </c>
      <c r="F278" s="37" t="s">
        <v>26</v>
      </c>
      <c r="G278" s="37" t="s">
        <v>58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30</v>
      </c>
      <c r="D279" s="12" t="s">
        <v>12</v>
      </c>
      <c r="E279" s="12" t="s">
        <v>13</v>
      </c>
      <c r="F279" s="12" t="s">
        <v>173</v>
      </c>
      <c r="G279" s="13" t="s">
        <v>174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23</v>
      </c>
      <c r="D280" s="37" t="s">
        <v>12</v>
      </c>
      <c r="E280" s="37" t="s">
        <v>13</v>
      </c>
      <c r="F280" s="37" t="s">
        <v>28</v>
      </c>
      <c r="G280" s="37" t="s">
        <v>55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30</v>
      </c>
      <c r="D281" s="12" t="s">
        <v>12</v>
      </c>
      <c r="E281" s="12" t="s">
        <v>13</v>
      </c>
      <c r="F281" s="12" t="s">
        <v>28</v>
      </c>
      <c r="G281" s="13" t="s">
        <v>55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35</v>
      </c>
      <c r="D282" s="12" t="s">
        <v>43</v>
      </c>
      <c r="E282" s="2" t="s">
        <v>40</v>
      </c>
      <c r="F282" s="2" t="s">
        <v>56</v>
      </c>
      <c r="G282" s="2" t="s">
        <v>81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25</v>
      </c>
      <c r="D283" s="12" t="s">
        <v>12</v>
      </c>
      <c r="E283" s="12" t="s">
        <v>13</v>
      </c>
      <c r="F283" s="27" t="s">
        <v>56</v>
      </c>
      <c r="G283" s="50" t="s">
        <v>58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11</v>
      </c>
      <c r="D284" s="12" t="s">
        <v>12</v>
      </c>
      <c r="E284" s="12" t="s">
        <v>13</v>
      </c>
      <c r="F284" s="12" t="s">
        <v>28</v>
      </c>
      <c r="G284" s="13" t="s">
        <v>169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11</v>
      </c>
      <c r="D285" s="37" t="s">
        <v>12</v>
      </c>
      <c r="E285" s="12" t="s">
        <v>13</v>
      </c>
      <c r="F285" s="12" t="s">
        <v>102</v>
      </c>
      <c r="G285" s="13" t="s">
        <v>103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35</v>
      </c>
      <c r="D286" s="12" t="s">
        <v>43</v>
      </c>
      <c r="E286" s="2" t="s">
        <v>191</v>
      </c>
      <c r="F286" s="2" t="s">
        <v>26</v>
      </c>
      <c r="G286" s="64" t="s">
        <v>41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16</v>
      </c>
      <c r="D287" s="12" t="s">
        <v>12</v>
      </c>
      <c r="E287" s="12" t="s">
        <v>13</v>
      </c>
      <c r="F287" s="27" t="s">
        <v>102</v>
      </c>
      <c r="G287" s="50" t="s">
        <v>103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23</v>
      </c>
      <c r="D288" s="12" t="s">
        <v>12</v>
      </c>
      <c r="E288" s="12" t="s">
        <v>13</v>
      </c>
      <c r="F288" s="27" t="s">
        <v>102</v>
      </c>
      <c r="G288" s="50" t="s">
        <v>103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19</v>
      </c>
      <c r="D289" s="12" t="s">
        <v>12</v>
      </c>
      <c r="E289" s="12" t="s">
        <v>13</v>
      </c>
      <c r="F289" s="27" t="s">
        <v>102</v>
      </c>
      <c r="G289" s="50" t="s">
        <v>103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32</v>
      </c>
      <c r="D290" s="12" t="s">
        <v>33</v>
      </c>
      <c r="E290" s="74"/>
      <c r="F290" s="14" t="s">
        <v>28</v>
      </c>
      <c r="G290" s="14" t="s">
        <v>123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32</v>
      </c>
      <c r="D291" s="12" t="s">
        <v>33</v>
      </c>
      <c r="E291" s="74"/>
      <c r="F291" s="14" t="s">
        <v>28</v>
      </c>
      <c r="G291" s="14" t="s">
        <v>123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30</v>
      </c>
      <c r="D292" s="37" t="s">
        <v>12</v>
      </c>
      <c r="E292" s="37" t="s">
        <v>13</v>
      </c>
      <c r="F292" s="37" t="s">
        <v>56</v>
      </c>
      <c r="G292" s="37" t="s">
        <v>58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32</v>
      </c>
      <c r="D293" s="12" t="s">
        <v>33</v>
      </c>
      <c r="E293" s="74"/>
      <c r="F293" s="14" t="s">
        <v>28</v>
      </c>
      <c r="G293" s="14" t="s">
        <v>123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32</v>
      </c>
      <c r="D294" s="12" t="s">
        <v>33</v>
      </c>
      <c r="E294" s="74"/>
      <c r="F294" s="89" t="s">
        <v>28</v>
      </c>
      <c r="G294" s="14" t="s">
        <v>123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19</v>
      </c>
      <c r="D295" s="12" t="s">
        <v>12</v>
      </c>
      <c r="E295" s="12" t="s">
        <v>13</v>
      </c>
      <c r="F295" s="27" t="s">
        <v>175</v>
      </c>
      <c r="G295" s="50" t="s">
        <v>208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32</v>
      </c>
      <c r="D296" s="12" t="s">
        <v>33</v>
      </c>
      <c r="E296" s="74"/>
      <c r="F296" s="89" t="s">
        <v>28</v>
      </c>
      <c r="G296" s="14" t="s">
        <v>123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16</v>
      </c>
      <c r="D297" s="12" t="s">
        <v>12</v>
      </c>
      <c r="E297" s="12" t="s">
        <v>13</v>
      </c>
      <c r="F297" s="27" t="s">
        <v>175</v>
      </c>
      <c r="G297" s="50" t="s">
        <v>208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16</v>
      </c>
      <c r="D298" s="12" t="s">
        <v>12</v>
      </c>
      <c r="E298" s="12" t="s">
        <v>13</v>
      </c>
      <c r="F298" s="27" t="s">
        <v>175</v>
      </c>
      <c r="G298" s="50" t="s">
        <v>208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23</v>
      </c>
      <c r="D299" s="12" t="s">
        <v>12</v>
      </c>
      <c r="E299" s="12" t="s">
        <v>13</v>
      </c>
      <c r="F299" s="12" t="s">
        <v>75</v>
      </c>
      <c r="G299" s="50" t="s">
        <v>76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32</v>
      </c>
      <c r="D300" s="12" t="s">
        <v>33</v>
      </c>
      <c r="E300" s="74"/>
      <c r="F300" s="89" t="s">
        <v>93</v>
      </c>
      <c r="G300" s="14" t="s">
        <v>94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19</v>
      </c>
      <c r="D301" s="12" t="s">
        <v>12</v>
      </c>
      <c r="E301" s="12" t="s">
        <v>13</v>
      </c>
      <c r="F301" s="27" t="s">
        <v>75</v>
      </c>
      <c r="G301" s="50" t="s">
        <v>76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25</v>
      </c>
      <c r="D302" s="12" t="s">
        <v>12</v>
      </c>
      <c r="E302" s="12" t="s">
        <v>176</v>
      </c>
      <c r="F302" s="12" t="s">
        <v>28</v>
      </c>
      <c r="G302" s="50" t="s">
        <v>177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11</v>
      </c>
      <c r="D303" s="12" t="s">
        <v>12</v>
      </c>
      <c r="E303" s="12" t="s">
        <v>13</v>
      </c>
      <c r="F303" s="27" t="s">
        <v>63</v>
      </c>
      <c r="G303" s="50" t="s">
        <v>76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32</v>
      </c>
      <c r="D304" s="12" t="s">
        <v>33</v>
      </c>
      <c r="E304" s="74"/>
      <c r="F304" s="89" t="s">
        <v>78</v>
      </c>
      <c r="G304" s="14" t="s">
        <v>88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23</v>
      </c>
      <c r="D305" s="12" t="s">
        <v>12</v>
      </c>
      <c r="E305" s="12" t="s">
        <v>13</v>
      </c>
      <c r="F305" s="12" t="s">
        <v>63</v>
      </c>
      <c r="G305" s="50" t="s">
        <v>76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32</v>
      </c>
      <c r="D306" s="12" t="s">
        <v>33</v>
      </c>
      <c r="E306" s="74"/>
      <c r="F306" s="89" t="s">
        <v>78</v>
      </c>
      <c r="G306" s="14" t="s">
        <v>94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11</v>
      </c>
      <c r="D307" s="12" t="s">
        <v>12</v>
      </c>
      <c r="E307" s="12" t="s">
        <v>178</v>
      </c>
      <c r="F307" s="12" t="s">
        <v>179</v>
      </c>
      <c r="G307" s="50" t="s">
        <v>18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32</v>
      </c>
      <c r="D308" s="12" t="s">
        <v>33</v>
      </c>
      <c r="E308" s="74"/>
      <c r="F308" s="89" t="s">
        <v>78</v>
      </c>
      <c r="G308" s="14" t="s">
        <v>94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25</v>
      </c>
      <c r="D309" s="12" t="s">
        <v>12</v>
      </c>
      <c r="E309" s="12" t="s">
        <v>13</v>
      </c>
      <c r="F309" s="12" t="s">
        <v>63</v>
      </c>
      <c r="G309" s="50" t="s">
        <v>76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19</v>
      </c>
      <c r="D310" s="12" t="s">
        <v>12</v>
      </c>
      <c r="E310" s="12" t="s">
        <v>178</v>
      </c>
      <c r="F310" s="12" t="s">
        <v>179</v>
      </c>
      <c r="G310" s="50" t="s">
        <v>18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19</v>
      </c>
      <c r="D311" s="12" t="s">
        <v>12</v>
      </c>
      <c r="E311" s="12" t="s">
        <v>178</v>
      </c>
      <c r="F311" s="12" t="s">
        <v>179</v>
      </c>
      <c r="G311" s="50" t="s">
        <v>18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19</v>
      </c>
      <c r="D312" s="12" t="s">
        <v>12</v>
      </c>
      <c r="E312" s="12" t="s">
        <v>13</v>
      </c>
      <c r="F312" s="12" t="s">
        <v>180</v>
      </c>
      <c r="G312" s="12" t="s">
        <v>181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19</v>
      </c>
      <c r="D313" s="12" t="s">
        <v>12</v>
      </c>
      <c r="E313" s="12" t="s">
        <v>13</v>
      </c>
      <c r="F313" s="12" t="s">
        <v>180</v>
      </c>
      <c r="G313" s="12" t="s">
        <v>181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35</v>
      </c>
      <c r="D314" s="12" t="s">
        <v>43</v>
      </c>
      <c r="E314" s="2" t="s">
        <v>36</v>
      </c>
      <c r="F314" s="2" t="s">
        <v>26</v>
      </c>
      <c r="G314" s="2" t="s">
        <v>37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35</v>
      </c>
      <c r="D315" s="12" t="s">
        <v>43</v>
      </c>
      <c r="E315" s="2" t="s">
        <v>36</v>
      </c>
      <c r="F315" s="2" t="s">
        <v>26</v>
      </c>
      <c r="G315" s="2" t="s">
        <v>37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83</v>
      </c>
      <c r="D316" s="12" t="s">
        <v>43</v>
      </c>
      <c r="E316" s="2" t="s">
        <v>36</v>
      </c>
      <c r="F316" s="2" t="s">
        <v>26</v>
      </c>
      <c r="G316" s="2" t="s">
        <v>37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19</v>
      </c>
      <c r="D317" s="12" t="s">
        <v>12</v>
      </c>
      <c r="E317" s="12" t="s">
        <v>182</v>
      </c>
      <c r="F317" s="12" t="s">
        <v>179</v>
      </c>
      <c r="G317" s="50" t="s">
        <v>18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35</v>
      </c>
      <c r="D318" s="12" t="s">
        <v>43</v>
      </c>
      <c r="E318" s="2" t="s">
        <v>191</v>
      </c>
      <c r="F318" s="2" t="s">
        <v>26</v>
      </c>
      <c r="G318" s="2" t="s">
        <v>81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83</v>
      </c>
      <c r="D319" s="12" t="s">
        <v>43</v>
      </c>
      <c r="E319" s="2" t="s">
        <v>191</v>
      </c>
      <c r="F319" s="2" t="s">
        <v>26</v>
      </c>
      <c r="G319" s="2" t="s">
        <v>81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19</v>
      </c>
      <c r="D320" s="12" t="s">
        <v>12</v>
      </c>
      <c r="E320" s="12" t="s">
        <v>13</v>
      </c>
      <c r="F320" s="12" t="s">
        <v>111</v>
      </c>
      <c r="G320" s="50" t="s">
        <v>68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23</v>
      </c>
      <c r="D321" s="12" t="s">
        <v>12</v>
      </c>
      <c r="E321" s="12" t="s">
        <v>13</v>
      </c>
      <c r="F321" s="27" t="s">
        <v>28</v>
      </c>
      <c r="G321" s="50" t="s">
        <v>98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35</v>
      </c>
      <c r="D322" s="12" t="s">
        <v>43</v>
      </c>
      <c r="E322" s="2" t="s">
        <v>36</v>
      </c>
      <c r="F322" s="2" t="s">
        <v>78</v>
      </c>
      <c r="G322" s="2" t="s">
        <v>135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25</v>
      </c>
      <c r="D323" s="12" t="s">
        <v>12</v>
      </c>
      <c r="E323" s="12" t="s">
        <v>13</v>
      </c>
      <c r="F323" s="88" t="s">
        <v>184</v>
      </c>
      <c r="G323" s="12" t="s">
        <v>183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19</v>
      </c>
      <c r="D324" s="12" t="s">
        <v>12</v>
      </c>
      <c r="E324" s="12" t="s">
        <v>13</v>
      </c>
      <c r="F324" s="12" t="s">
        <v>26</v>
      </c>
      <c r="G324" s="50" t="s">
        <v>99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25</v>
      </c>
      <c r="D325" s="12" t="s">
        <v>12</v>
      </c>
      <c r="E325" s="12" t="s">
        <v>13</v>
      </c>
      <c r="F325" s="12" t="s">
        <v>26</v>
      </c>
      <c r="G325" s="12" t="s">
        <v>99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30</v>
      </c>
      <c r="D326" s="12" t="s">
        <v>12</v>
      </c>
      <c r="E326" s="12" t="s">
        <v>13</v>
      </c>
      <c r="F326" s="12" t="s">
        <v>56</v>
      </c>
      <c r="G326" s="12" t="s">
        <v>99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19</v>
      </c>
      <c r="D327" s="12" t="s">
        <v>12</v>
      </c>
      <c r="E327" s="12" t="s">
        <v>13</v>
      </c>
      <c r="F327" s="12" t="s">
        <v>24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32</v>
      </c>
      <c r="D328" s="12" t="s">
        <v>33</v>
      </c>
      <c r="E328" s="74"/>
      <c r="F328" s="89" t="s">
        <v>26</v>
      </c>
      <c r="G328" s="14" t="s">
        <v>187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11</v>
      </c>
      <c r="D329" s="12" t="s">
        <v>12</v>
      </c>
      <c r="E329" s="12" t="s">
        <v>185</v>
      </c>
      <c r="F329" s="12" t="s">
        <v>75</v>
      </c>
      <c r="G329" s="50" t="s">
        <v>76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23</v>
      </c>
      <c r="D330" s="12" t="s">
        <v>12</v>
      </c>
      <c r="E330" s="12" t="s">
        <v>13</v>
      </c>
      <c r="F330" s="12" t="s">
        <v>26</v>
      </c>
      <c r="G330" s="50" t="s">
        <v>104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30</v>
      </c>
      <c r="D331" s="12" t="s">
        <v>12</v>
      </c>
      <c r="E331" s="12" t="s">
        <v>185</v>
      </c>
      <c r="F331" s="12" t="s">
        <v>75</v>
      </c>
      <c r="G331" s="12" t="s">
        <v>76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23</v>
      </c>
      <c r="D332" s="12" t="s">
        <v>12</v>
      </c>
      <c r="E332" s="12" t="s">
        <v>185</v>
      </c>
      <c r="F332" s="12" t="s">
        <v>63</v>
      </c>
      <c r="G332" s="50" t="s">
        <v>76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25</v>
      </c>
      <c r="D333" s="12" t="s">
        <v>12</v>
      </c>
      <c r="E333" s="12" t="s">
        <v>185</v>
      </c>
      <c r="F333" s="12" t="s">
        <v>63</v>
      </c>
      <c r="G333" s="50" t="s">
        <v>76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16</v>
      </c>
      <c r="D334" s="12" t="s">
        <v>12</v>
      </c>
      <c r="E334" s="12" t="s">
        <v>13</v>
      </c>
      <c r="F334" s="27" t="s">
        <v>24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25</v>
      </c>
      <c r="D335" s="12" t="s">
        <v>12</v>
      </c>
      <c r="E335" s="12" t="s">
        <v>186</v>
      </c>
      <c r="F335" s="27" t="s">
        <v>63</v>
      </c>
      <c r="G335" s="50" t="s">
        <v>76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32</v>
      </c>
      <c r="D336" s="12" t="s">
        <v>33</v>
      </c>
      <c r="F336" s="89" t="s">
        <v>24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30</v>
      </c>
      <c r="D337" s="12" t="s">
        <v>120</v>
      </c>
      <c r="E337" s="12" t="s">
        <v>188</v>
      </c>
      <c r="F337" s="12" t="s">
        <v>189</v>
      </c>
      <c r="G337" s="50" t="s">
        <v>190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11</v>
      </c>
      <c r="D338" s="12" t="s">
        <v>12</v>
      </c>
      <c r="E338" s="12" t="s">
        <v>13</v>
      </c>
      <c r="F338" s="12" t="s">
        <v>24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16</v>
      </c>
      <c r="D339" s="12" t="s">
        <v>12</v>
      </c>
      <c r="E339" s="12" t="s">
        <v>13</v>
      </c>
      <c r="F339" s="12" t="s">
        <v>24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19</v>
      </c>
      <c r="D340" s="12" t="s">
        <v>12</v>
      </c>
      <c r="E340" s="12" t="s">
        <v>13</v>
      </c>
      <c r="F340" s="12" t="s">
        <v>26</v>
      </c>
      <c r="G340" s="12" t="s">
        <v>192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32</v>
      </c>
      <c r="D341" s="14" t="s">
        <v>33</v>
      </c>
      <c r="E341" s="14"/>
      <c r="F341" s="14" t="s">
        <v>26</v>
      </c>
      <c r="G341" s="14" t="s">
        <v>124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30</v>
      </c>
      <c r="D342" s="12" t="s">
        <v>12</v>
      </c>
      <c r="E342" s="12" t="s">
        <v>13</v>
      </c>
      <c r="F342" s="27" t="s">
        <v>26</v>
      </c>
      <c r="G342" s="50" t="s">
        <v>192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16</v>
      </c>
      <c r="D343" s="12" t="s">
        <v>12</v>
      </c>
      <c r="E343" s="12" t="s">
        <v>13</v>
      </c>
      <c r="F343" s="12" t="s">
        <v>26</v>
      </c>
      <c r="G343" s="12" t="s">
        <v>114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30</v>
      </c>
      <c r="D344" s="12" t="s">
        <v>12</v>
      </c>
      <c r="E344" s="12" t="s">
        <v>13</v>
      </c>
      <c r="F344" s="27" t="s">
        <v>26</v>
      </c>
      <c r="G344" s="50" t="s">
        <v>114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25</v>
      </c>
      <c r="D345" s="12" t="s">
        <v>12</v>
      </c>
      <c r="E345" s="12" t="s">
        <v>13</v>
      </c>
      <c r="F345" s="12" t="s">
        <v>26</v>
      </c>
      <c r="G345" s="12" t="s">
        <v>193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23</v>
      </c>
      <c r="D346" s="12" t="s">
        <v>12</v>
      </c>
      <c r="E346" s="12" t="s">
        <v>13</v>
      </c>
      <c r="F346" s="27" t="s">
        <v>26</v>
      </c>
      <c r="G346" s="50" t="s">
        <v>114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16</v>
      </c>
      <c r="D347" s="12" t="s">
        <v>12</v>
      </c>
      <c r="E347" s="12" t="s">
        <v>13</v>
      </c>
      <c r="F347" s="12" t="s">
        <v>26</v>
      </c>
      <c r="G347" s="12" t="s">
        <v>114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11</v>
      </c>
      <c r="D348" s="12" t="s">
        <v>120</v>
      </c>
      <c r="E348" s="12"/>
      <c r="F348" s="12" t="s">
        <v>24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19</v>
      </c>
      <c r="D349" s="12" t="s">
        <v>12</v>
      </c>
      <c r="E349" s="12"/>
      <c r="F349" s="27" t="s">
        <v>195</v>
      </c>
      <c r="G349" s="50" t="s">
        <v>194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11</v>
      </c>
      <c r="D350" s="12" t="s">
        <v>120</v>
      </c>
      <c r="E350" s="12"/>
      <c r="F350" s="27" t="s">
        <v>24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32</v>
      </c>
      <c r="D351" s="14" t="s">
        <v>33</v>
      </c>
      <c r="E351" s="14"/>
      <c r="F351" s="14" t="s">
        <v>24</v>
      </c>
      <c r="G351" s="14" t="s">
        <v>197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32</v>
      </c>
      <c r="D352" s="14" t="s">
        <v>33</v>
      </c>
      <c r="E352" s="14"/>
      <c r="F352" s="14" t="s">
        <v>24</v>
      </c>
      <c r="G352" s="14" t="s">
        <v>197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35</v>
      </c>
      <c r="D353" s="14" t="s">
        <v>43</v>
      </c>
      <c r="E353" s="2" t="s">
        <v>126</v>
      </c>
      <c r="F353" s="101" t="s">
        <v>28</v>
      </c>
      <c r="G353" s="2" t="s">
        <v>135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25</v>
      </c>
      <c r="D354" s="12" t="s">
        <v>12</v>
      </c>
      <c r="E354" s="12" t="s">
        <v>13</v>
      </c>
      <c r="F354" s="12" t="s">
        <v>26</v>
      </c>
      <c r="G354" s="12" t="s">
        <v>27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16</v>
      </c>
      <c r="D355" s="12" t="s">
        <v>12</v>
      </c>
      <c r="E355" s="12" t="s">
        <v>13</v>
      </c>
      <c r="F355" s="27" t="s">
        <v>28</v>
      </c>
      <c r="G355" s="12" t="s">
        <v>209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11</v>
      </c>
      <c r="D356" s="12" t="s">
        <v>12</v>
      </c>
      <c r="E356" s="12" t="s">
        <v>13</v>
      </c>
      <c r="F356" s="27" t="s">
        <v>56</v>
      </c>
      <c r="G356" s="50" t="s">
        <v>57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19</v>
      </c>
      <c r="D357" s="12" t="s">
        <v>12</v>
      </c>
      <c r="E357" s="12" t="s">
        <v>13</v>
      </c>
      <c r="F357" s="27" t="s">
        <v>28</v>
      </c>
      <c r="G357" s="50" t="s">
        <v>209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11</v>
      </c>
      <c r="D358" s="12" t="s">
        <v>12</v>
      </c>
      <c r="E358" s="12" t="s">
        <v>13</v>
      </c>
      <c r="F358" s="27" t="s">
        <v>175</v>
      </c>
      <c r="G358" s="50" t="s">
        <v>117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35</v>
      </c>
      <c r="D359" s="14" t="s">
        <v>43</v>
      </c>
      <c r="E359" s="2" t="s">
        <v>199</v>
      </c>
      <c r="F359" s="101" t="s">
        <v>142</v>
      </c>
      <c r="G359" s="2" t="s">
        <v>139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16</v>
      </c>
      <c r="D360" s="12" t="s">
        <v>12</v>
      </c>
      <c r="E360" s="12" t="s">
        <v>13</v>
      </c>
      <c r="F360" s="27" t="s">
        <v>175</v>
      </c>
      <c r="G360" s="50" t="s">
        <v>117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35</v>
      </c>
      <c r="D361" s="14" t="s">
        <v>43</v>
      </c>
      <c r="E361" s="2" t="s">
        <v>191</v>
      </c>
      <c r="F361" s="101" t="s">
        <v>26</v>
      </c>
      <c r="G361" s="64" t="s">
        <v>41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16</v>
      </c>
      <c r="D362" s="12" t="s">
        <v>12</v>
      </c>
      <c r="E362" s="12" t="s">
        <v>13</v>
      </c>
      <c r="F362" s="27" t="s">
        <v>175</v>
      </c>
      <c r="G362" s="50" t="s">
        <v>117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25</v>
      </c>
      <c r="D363" s="12" t="s">
        <v>12</v>
      </c>
      <c r="E363" s="12" t="s">
        <v>13</v>
      </c>
      <c r="F363" s="27" t="s">
        <v>26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23</v>
      </c>
      <c r="D364" s="12" t="s">
        <v>12</v>
      </c>
      <c r="E364" s="12" t="s">
        <v>13</v>
      </c>
      <c r="F364" s="27" t="s">
        <v>198</v>
      </c>
      <c r="G364" s="50" t="s">
        <v>117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35</v>
      </c>
      <c r="D365" s="14" t="s">
        <v>43</v>
      </c>
      <c r="E365" s="2" t="s">
        <v>191</v>
      </c>
      <c r="F365" s="101" t="s">
        <v>28</v>
      </c>
      <c r="G365" s="2" t="s">
        <v>155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16</v>
      </c>
      <c r="D366" s="12" t="s">
        <v>12</v>
      </c>
      <c r="E366" s="12" t="s">
        <v>13</v>
      </c>
      <c r="F366" s="27" t="s">
        <v>198</v>
      </c>
      <c r="G366" s="50" t="s">
        <v>117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25</v>
      </c>
      <c r="D367" s="12" t="s">
        <v>12</v>
      </c>
      <c r="E367" s="12" t="s">
        <v>13</v>
      </c>
      <c r="F367" s="27" t="s">
        <v>198</v>
      </c>
      <c r="G367" s="50" t="s">
        <v>117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153</v>
      </c>
      <c r="D368" s="14" t="s">
        <v>33</v>
      </c>
      <c r="E368" s="14"/>
      <c r="F368" s="89" t="s">
        <v>28</v>
      </c>
      <c r="G368" s="14" t="s">
        <v>152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16</v>
      </c>
      <c r="D369" s="12" t="s">
        <v>12</v>
      </c>
      <c r="E369" s="12" t="s">
        <v>118</v>
      </c>
      <c r="F369" s="12" t="s">
        <v>56</v>
      </c>
      <c r="G369" s="12" t="s">
        <v>208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11</v>
      </c>
      <c r="D370" s="12" t="s">
        <v>12</v>
      </c>
      <c r="E370" s="12" t="s">
        <v>196</v>
      </c>
      <c r="F370" s="12" t="s">
        <v>56</v>
      </c>
      <c r="G370" s="12" t="s">
        <v>208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11</v>
      </c>
      <c r="D371" s="12" t="s">
        <v>12</v>
      </c>
      <c r="E371" s="12" t="s">
        <v>196</v>
      </c>
      <c r="F371" s="27" t="s">
        <v>56</v>
      </c>
      <c r="G371" s="12" t="s">
        <v>208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83</v>
      </c>
      <c r="D372" s="14" t="s">
        <v>43</v>
      </c>
      <c r="E372" s="2" t="s">
        <v>36</v>
      </c>
      <c r="F372" s="101" t="s">
        <v>26</v>
      </c>
      <c r="G372" s="2" t="s">
        <v>39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25</v>
      </c>
      <c r="D373" s="12" t="s">
        <v>12</v>
      </c>
      <c r="E373" s="12" t="s">
        <v>13</v>
      </c>
      <c r="F373" s="12" t="s">
        <v>28</v>
      </c>
      <c r="G373" s="12" t="s">
        <v>209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19</v>
      </c>
      <c r="D374" s="12" t="s">
        <v>12</v>
      </c>
      <c r="E374" s="12" t="s">
        <v>13</v>
      </c>
      <c r="F374" s="27" t="s">
        <v>28</v>
      </c>
      <c r="G374" s="50" t="s">
        <v>181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19</v>
      </c>
      <c r="D375" s="12" t="s">
        <v>12</v>
      </c>
      <c r="E375" s="12" t="s">
        <v>13</v>
      </c>
      <c r="F375" s="12" t="s">
        <v>28</v>
      </c>
      <c r="G375" s="14" t="s">
        <v>209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32</v>
      </c>
      <c r="D376" s="14" t="s">
        <v>33</v>
      </c>
      <c r="E376" s="74"/>
      <c r="F376" s="14" t="s">
        <v>26</v>
      </c>
      <c r="G376" s="14" t="s">
        <v>187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83</v>
      </c>
      <c r="D377" s="12" t="s">
        <v>43</v>
      </c>
      <c r="E377" s="2" t="s">
        <v>202</v>
      </c>
      <c r="F377" s="12" t="s">
        <v>24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19</v>
      </c>
      <c r="D378" s="12" t="s">
        <v>12</v>
      </c>
      <c r="E378" s="2" t="s">
        <v>13</v>
      </c>
      <c r="F378" s="27" t="s">
        <v>28</v>
      </c>
      <c r="G378" s="50" t="s">
        <v>147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35</v>
      </c>
      <c r="D379" s="12" t="s">
        <v>43</v>
      </c>
      <c r="E379" s="2" t="s">
        <v>202</v>
      </c>
      <c r="F379" s="2" t="s">
        <v>28</v>
      </c>
      <c r="G379" s="2" t="s">
        <v>155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35</v>
      </c>
      <c r="D380" s="12" t="s">
        <v>43</v>
      </c>
      <c r="E380" s="2" t="s">
        <v>203</v>
      </c>
      <c r="F380" s="2" t="s">
        <v>56</v>
      </c>
      <c r="G380" s="2" t="s">
        <v>39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35</v>
      </c>
      <c r="D381" s="12" t="s">
        <v>43</v>
      </c>
      <c r="E381" s="2" t="s">
        <v>203</v>
      </c>
      <c r="F381" s="2" t="s">
        <v>56</v>
      </c>
      <c r="G381" s="2" t="s">
        <v>39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19</v>
      </c>
      <c r="D382" s="54" t="s">
        <v>12</v>
      </c>
      <c r="E382" s="103" t="s">
        <v>13</v>
      </c>
      <c r="F382" s="57" t="s">
        <v>28</v>
      </c>
      <c r="G382" s="58" t="s">
        <v>200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19</v>
      </c>
      <c r="D383" s="54" t="s">
        <v>12</v>
      </c>
      <c r="E383" s="103" t="s">
        <v>13</v>
      </c>
      <c r="F383" s="57" t="s">
        <v>26</v>
      </c>
      <c r="G383" s="58" t="s">
        <v>99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23</v>
      </c>
      <c r="D384" s="12" t="s">
        <v>12</v>
      </c>
      <c r="E384" s="12" t="s">
        <v>13</v>
      </c>
      <c r="F384" s="12" t="s">
        <v>56</v>
      </c>
      <c r="G384" s="58" t="s">
        <v>99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11</v>
      </c>
      <c r="D385" s="54" t="s">
        <v>12</v>
      </c>
      <c r="E385" s="54" t="s">
        <v>13</v>
      </c>
      <c r="F385" s="57" t="s">
        <v>56</v>
      </c>
      <c r="G385" s="58" t="s">
        <v>99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11</v>
      </c>
      <c r="D386" s="54" t="s">
        <v>12</v>
      </c>
      <c r="E386" s="54" t="s">
        <v>13</v>
      </c>
      <c r="F386" s="57" t="s">
        <v>28</v>
      </c>
      <c r="G386" s="58" t="s">
        <v>29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35</v>
      </c>
      <c r="D387" s="12" t="s">
        <v>43</v>
      </c>
      <c r="E387" s="2" t="s">
        <v>38</v>
      </c>
      <c r="F387" s="2" t="s">
        <v>56</v>
      </c>
      <c r="G387" s="64" t="s">
        <v>41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16</v>
      </c>
      <c r="D388" s="54" t="s">
        <v>12</v>
      </c>
      <c r="E388" s="54" t="s">
        <v>13</v>
      </c>
      <c r="F388" s="57" t="s">
        <v>201</v>
      </c>
      <c r="G388" s="50" t="s">
        <v>117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30</v>
      </c>
      <c r="D389" s="12" t="s">
        <v>12</v>
      </c>
      <c r="E389" s="12" t="s">
        <v>13</v>
      </c>
      <c r="F389" s="12" t="s">
        <v>56</v>
      </c>
      <c r="G389" s="50" t="s">
        <v>99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153</v>
      </c>
      <c r="D390" s="12" t="s">
        <v>33</v>
      </c>
      <c r="E390" s="74" t="s">
        <v>204</v>
      </c>
      <c r="F390" s="14" t="s">
        <v>90</v>
      </c>
      <c r="G390" s="14" t="s">
        <v>91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19</v>
      </c>
      <c r="D391" s="54" t="s">
        <v>12</v>
      </c>
      <c r="E391" s="103" t="s">
        <v>13</v>
      </c>
      <c r="F391" s="57" t="s">
        <v>93</v>
      </c>
      <c r="G391" s="50" t="s">
        <v>181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16</v>
      </c>
      <c r="D392" s="54" t="s">
        <v>12</v>
      </c>
      <c r="E392" s="103" t="s">
        <v>13</v>
      </c>
      <c r="F392" s="57" t="s">
        <v>14</v>
      </c>
      <c r="G392" s="50" t="s">
        <v>15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19</v>
      </c>
      <c r="D393" s="54" t="s">
        <v>12</v>
      </c>
      <c r="E393" s="103" t="s">
        <v>13</v>
      </c>
      <c r="F393" s="57" t="s">
        <v>93</v>
      </c>
      <c r="G393" s="50" t="s">
        <v>181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32</v>
      </c>
      <c r="D394" s="12" t="s">
        <v>33</v>
      </c>
      <c r="E394" s="74" t="s">
        <v>205</v>
      </c>
      <c r="F394" s="14" t="s">
        <v>28</v>
      </c>
      <c r="G394" s="14" t="s">
        <v>123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35</v>
      </c>
      <c r="D395" s="37" t="s">
        <v>43</v>
      </c>
      <c r="E395" s="82" t="s">
        <v>36</v>
      </c>
      <c r="F395" s="82" t="s">
        <v>26</v>
      </c>
      <c r="G395" s="82" t="s">
        <v>39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11</v>
      </c>
      <c r="D396" s="54" t="s">
        <v>12</v>
      </c>
      <c r="E396" s="103" t="s">
        <v>13</v>
      </c>
      <c r="F396" s="57" t="s">
        <v>24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16</v>
      </c>
      <c r="D397" s="12" t="s">
        <v>12</v>
      </c>
      <c r="E397" s="12" t="s">
        <v>13</v>
      </c>
      <c r="F397" s="12" t="s">
        <v>24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11</v>
      </c>
      <c r="D398" s="54" t="s">
        <v>12</v>
      </c>
      <c r="E398" s="82" t="s">
        <v>13</v>
      </c>
      <c r="F398" s="57" t="s">
        <v>24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32</v>
      </c>
      <c r="D399" s="54" t="s">
        <v>33</v>
      </c>
      <c r="E399" s="74"/>
      <c r="F399" s="14" t="s">
        <v>26</v>
      </c>
      <c r="G399" s="14" t="s">
        <v>124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16</v>
      </c>
      <c r="D400" s="54" t="s">
        <v>12</v>
      </c>
      <c r="E400" s="82" t="s">
        <v>13</v>
      </c>
      <c r="F400" s="57" t="s">
        <v>24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35</v>
      </c>
      <c r="D401" s="54" t="s">
        <v>43</v>
      </c>
      <c r="E401" s="2" t="s">
        <v>202</v>
      </c>
      <c r="F401" s="2" t="s">
        <v>24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11</v>
      </c>
      <c r="D402" s="54" t="s">
        <v>12</v>
      </c>
      <c r="E402" s="82" t="s">
        <v>13</v>
      </c>
      <c r="F402" s="57" t="s">
        <v>26</v>
      </c>
      <c r="G402" s="50" t="s">
        <v>31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19</v>
      </c>
      <c r="D403" s="54" t="s">
        <v>12</v>
      </c>
      <c r="E403" s="82" t="s">
        <v>13</v>
      </c>
      <c r="F403" s="57" t="s">
        <v>26</v>
      </c>
      <c r="G403" s="50" t="s">
        <v>99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35</v>
      </c>
      <c r="D404" s="54" t="s">
        <v>43</v>
      </c>
      <c r="E404" s="2" t="s">
        <v>36</v>
      </c>
      <c r="F404" s="2" t="s">
        <v>207</v>
      </c>
      <c r="G404" s="2" t="s">
        <v>206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153</v>
      </c>
      <c r="D405" s="54" t="s">
        <v>33</v>
      </c>
      <c r="E405" s="74"/>
      <c r="F405" s="14" t="s">
        <v>26</v>
      </c>
      <c r="G405" s="14" t="s">
        <v>125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32</v>
      </c>
      <c r="D406" s="54" t="s">
        <v>33</v>
      </c>
      <c r="E406" s="74"/>
      <c r="F406" s="14" t="s">
        <v>90</v>
      </c>
      <c r="G406" s="14" t="s">
        <v>91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153</v>
      </c>
      <c r="D407" s="54" t="s">
        <v>33</v>
      </c>
      <c r="E407" s="74"/>
      <c r="F407" s="14" t="s">
        <v>56</v>
      </c>
      <c r="G407" s="14" t="s">
        <v>125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32</v>
      </c>
      <c r="D408" s="54" t="s">
        <v>33</v>
      </c>
      <c r="E408" s="74"/>
      <c r="F408" s="89" t="s">
        <v>78</v>
      </c>
      <c r="G408" s="14" t="s">
        <v>92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16</v>
      </c>
      <c r="D409" s="54" t="s">
        <v>12</v>
      </c>
      <c r="E409" s="82" t="s">
        <v>13</v>
      </c>
      <c r="F409" s="57" t="s">
        <v>14</v>
      </c>
      <c r="G409" s="50" t="s">
        <v>15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19</v>
      </c>
      <c r="D410" s="62" t="s">
        <v>12</v>
      </c>
      <c r="E410" s="109" t="s">
        <v>13</v>
      </c>
      <c r="F410" s="63" t="s">
        <v>28</v>
      </c>
      <c r="G410" s="110" t="s">
        <v>98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30</v>
      </c>
      <c r="D411" s="62" t="s">
        <v>12</v>
      </c>
      <c r="E411" s="109" t="s">
        <v>13</v>
      </c>
      <c r="F411" s="64" t="s">
        <v>22</v>
      </c>
      <c r="G411" s="114" t="s">
        <v>210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11</v>
      </c>
      <c r="D412" s="62" t="s">
        <v>12</v>
      </c>
      <c r="E412" s="109" t="s">
        <v>13</v>
      </c>
      <c r="F412" s="63" t="s">
        <v>211</v>
      </c>
      <c r="G412" s="110" t="s">
        <v>212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35</v>
      </c>
      <c r="D413" s="62" t="s">
        <v>43</v>
      </c>
      <c r="E413" s="82" t="s">
        <v>191</v>
      </c>
      <c r="F413" s="63" t="s">
        <v>24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19</v>
      </c>
      <c r="D414" s="62" t="s">
        <v>33</v>
      </c>
      <c r="E414" s="109" t="s">
        <v>13</v>
      </c>
      <c r="F414" s="63" t="s">
        <v>28</v>
      </c>
      <c r="G414" s="110" t="s">
        <v>99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19</v>
      </c>
      <c r="D415" s="109" t="s">
        <v>12</v>
      </c>
      <c r="E415" s="64" t="s">
        <v>13</v>
      </c>
      <c r="F415" s="64" t="s">
        <v>26</v>
      </c>
      <c r="G415" s="64" t="s">
        <v>99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35</v>
      </c>
      <c r="D416" s="62" t="s">
        <v>43</v>
      </c>
      <c r="E416" s="82" t="s">
        <v>42</v>
      </c>
      <c r="F416" s="63" t="s">
        <v>24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35</v>
      </c>
      <c r="D417" s="62" t="s">
        <v>43</v>
      </c>
      <c r="E417" s="82" t="s">
        <v>42</v>
      </c>
      <c r="F417" s="63" t="s">
        <v>24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11</v>
      </c>
      <c r="D418" s="62" t="s">
        <v>12</v>
      </c>
      <c r="E418" s="64" t="s">
        <v>13</v>
      </c>
      <c r="F418" s="64" t="s">
        <v>21</v>
      </c>
      <c r="G418" s="117" t="s">
        <v>20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35</v>
      </c>
      <c r="D419" s="62" t="s">
        <v>43</v>
      </c>
      <c r="E419" s="82" t="s">
        <v>36</v>
      </c>
      <c r="F419" s="82" t="s">
        <v>26</v>
      </c>
      <c r="G419" s="82" t="s">
        <v>37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32</v>
      </c>
      <c r="D420" s="62" t="s">
        <v>33</v>
      </c>
      <c r="E420" s="64"/>
      <c r="F420" s="63" t="s">
        <v>24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11</v>
      </c>
      <c r="D421" s="62" t="s">
        <v>12</v>
      </c>
      <c r="E421" s="64" t="s">
        <v>13</v>
      </c>
      <c r="F421" s="63" t="s">
        <v>24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32</v>
      </c>
      <c r="D422" s="62" t="s">
        <v>33</v>
      </c>
      <c r="E422" s="109"/>
      <c r="F422" s="63" t="s">
        <v>28</v>
      </c>
      <c r="G422" s="110" t="s">
        <v>99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19</v>
      </c>
      <c r="D423" s="62" t="s">
        <v>12</v>
      </c>
      <c r="E423" s="109" t="s">
        <v>13</v>
      </c>
      <c r="F423" s="63" t="s">
        <v>24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25</v>
      </c>
      <c r="D424" s="62" t="s">
        <v>12</v>
      </c>
      <c r="E424" s="64" t="s">
        <v>13</v>
      </c>
      <c r="F424" s="64" t="s">
        <v>24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16</v>
      </c>
      <c r="D425" s="62" t="s">
        <v>12</v>
      </c>
      <c r="E425" s="64" t="s">
        <v>13</v>
      </c>
      <c r="F425" s="64" t="s">
        <v>24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11</v>
      </c>
      <c r="D426" s="62" t="s">
        <v>12</v>
      </c>
      <c r="E426" s="64" t="s">
        <v>13</v>
      </c>
      <c r="F426" s="64" t="s">
        <v>24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11</v>
      </c>
      <c r="D427" s="62" t="s">
        <v>12</v>
      </c>
      <c r="E427" s="109" t="s">
        <v>13</v>
      </c>
      <c r="F427" s="63" t="s">
        <v>22</v>
      </c>
      <c r="G427" s="39" t="s">
        <v>122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35</v>
      </c>
      <c r="D428" s="62" t="s">
        <v>43</v>
      </c>
      <c r="E428" s="82" t="s">
        <v>38</v>
      </c>
      <c r="F428" s="82" t="s">
        <v>26</v>
      </c>
      <c r="G428" s="82" t="s">
        <v>41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35</v>
      </c>
      <c r="D429" s="62" t="s">
        <v>43</v>
      </c>
      <c r="E429" s="82" t="s">
        <v>36</v>
      </c>
      <c r="F429" s="82" t="s">
        <v>26</v>
      </c>
      <c r="G429" s="82" t="s">
        <v>41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23</v>
      </c>
      <c r="D430" s="62" t="s">
        <v>12</v>
      </c>
      <c r="E430" s="109" t="s">
        <v>13</v>
      </c>
      <c r="F430" s="63" t="s">
        <v>28</v>
      </c>
      <c r="G430" s="110" t="s">
        <v>213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35</v>
      </c>
      <c r="D431" s="62" t="s">
        <v>43</v>
      </c>
      <c r="E431" s="82" t="s">
        <v>215</v>
      </c>
      <c r="F431" s="82" t="s">
        <v>216</v>
      </c>
      <c r="G431" s="82" t="s">
        <v>217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16</v>
      </c>
      <c r="D432" s="62" t="s">
        <v>12</v>
      </c>
      <c r="E432" s="64" t="s">
        <v>13</v>
      </c>
      <c r="F432" s="63" t="s">
        <v>28</v>
      </c>
      <c r="G432" s="117" t="s">
        <v>214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Normal="100" workbookViewId="0">
      <selection activeCell="A2" sqref="A2:H2"/>
    </sheetView>
  </sheetViews>
  <sheetFormatPr defaultRowHeight="15" x14ac:dyDescent="0.25"/>
  <cols>
    <col min="1" max="9" width="9.140625" style="15"/>
    <col min="10" max="21" width="7.7109375" style="15" customWidth="1"/>
    <col min="22" max="16384" width="9.140625" style="15"/>
  </cols>
  <sheetData>
    <row r="1" spans="1:21" ht="26.25" x14ac:dyDescent="0.4">
      <c r="A1" s="131" t="s">
        <v>238</v>
      </c>
      <c r="B1" s="131"/>
      <c r="C1" s="131"/>
      <c r="D1" s="131"/>
      <c r="E1" s="131"/>
      <c r="F1" s="131"/>
      <c r="G1" s="131"/>
      <c r="H1" s="131"/>
      <c r="I1" s="8"/>
      <c r="J1" s="8"/>
      <c r="K1" s="8"/>
    </row>
    <row r="2" spans="1:21" s="74" customFormat="1" ht="18" customHeight="1" x14ac:dyDescent="0.4">
      <c r="A2" s="133" t="s">
        <v>239</v>
      </c>
      <c r="B2" s="133"/>
      <c r="C2" s="133"/>
      <c r="D2" s="133"/>
      <c r="E2" s="133"/>
      <c r="F2" s="133"/>
      <c r="G2" s="133"/>
      <c r="H2" s="133"/>
      <c r="I2" s="8"/>
      <c r="J2" s="8"/>
      <c r="K2" s="8"/>
    </row>
    <row r="3" spans="1:21" ht="26.25" x14ac:dyDescent="0.4">
      <c r="A3" s="132" t="s">
        <v>231</v>
      </c>
      <c r="B3" s="132"/>
      <c r="C3" s="132"/>
      <c r="D3" s="132"/>
      <c r="E3" s="132"/>
      <c r="F3" s="132"/>
      <c r="G3" s="132"/>
      <c r="H3" s="132"/>
      <c r="I3" s="16"/>
    </row>
    <row r="5" spans="1:21" ht="15.75" x14ac:dyDescent="0.25">
      <c r="A5" s="5" t="s">
        <v>232</v>
      </c>
    </row>
    <row r="6" spans="1:21" ht="11.1" customHeight="1" x14ac:dyDescent="0.25">
      <c r="A6" s="6"/>
      <c r="J6" s="130">
        <v>42186</v>
      </c>
      <c r="K6" s="130">
        <v>42217</v>
      </c>
      <c r="L6" s="130">
        <v>42248</v>
      </c>
      <c r="M6" s="130">
        <v>42278</v>
      </c>
      <c r="N6" s="130">
        <v>42309</v>
      </c>
      <c r="O6" s="130">
        <v>42339</v>
      </c>
      <c r="P6" s="130">
        <v>42370</v>
      </c>
      <c r="Q6" s="130">
        <v>42401</v>
      </c>
      <c r="R6" s="130">
        <v>42430</v>
      </c>
      <c r="S6" s="130">
        <v>42461</v>
      </c>
      <c r="T6" s="130">
        <v>42491</v>
      </c>
      <c r="U6" s="130">
        <v>42522</v>
      </c>
    </row>
    <row r="7" spans="1:21" ht="15.75" x14ac:dyDescent="0.25">
      <c r="A7" s="7" t="s">
        <v>228</v>
      </c>
      <c r="B7" s="2"/>
      <c r="C7" s="4"/>
      <c r="H7" s="15">
        <f>COUNTIFS(Data!A2:$A$65471,"&gt;=7/1/2015", Data!A2:$A$65471,"&lt;=6/30/2016", Data!D2:$D$65471, "LEE")</f>
        <v>257</v>
      </c>
      <c r="J7" s="74">
        <f>COUNTIFS(Data!A2:$A$65471,"&gt;=7/1/2015", Data!A2:$A$65471,"&lt;=7/31/2015", Data!D2:$D$65471, "LEE")</f>
        <v>12</v>
      </c>
      <c r="K7" s="74">
        <f>COUNTIFS(Data!$A2:B$65471,"&gt;=8/1/2015", Data!$A2:B$65471,"&lt;=8/31/2015", Data!$D2:E$65471, "LEE")</f>
        <v>7</v>
      </c>
      <c r="L7" s="74">
        <f>COUNTIFS(Data!$A2:C$65471,"&gt;=9/1/2015", Data!$A2:C$65471,"&lt;=9/30/2015", Data!$D2:F$65471, "LEE")</f>
        <v>42</v>
      </c>
      <c r="M7" s="74">
        <f>COUNTIFS(Data!$A2:D$65471,"&gt;=10/1/2015", Data!$A2:D$65471,"&lt;=10/31/2015", Data!$D2:G$65471, "LEE")</f>
        <v>59</v>
      </c>
      <c r="N7" s="74">
        <f>COUNTIFS(Data!$A2:E$65471,"&gt;=11/1/2015", Data!$A2:E$65471,"&lt;=11/30/2015", Data!$D2:H$65471, "LEE")</f>
        <v>22</v>
      </c>
      <c r="O7" s="74">
        <f>COUNTIFS(Data!$A2:F$65471,"&gt;=12/1/2015", Data!$A2:F$65471,"&lt;=12/31/2015", Data!$D2:I$65471, "LEE")</f>
        <v>0</v>
      </c>
      <c r="P7" s="74">
        <f>COUNTIFS(Data!$A2:G$65471,"&gt;=1/1/2016", Data!$A2:G$65471,"&lt;=1/31/2016", Data!$D2:J$65471, "LEE")</f>
        <v>28</v>
      </c>
      <c r="Q7" s="74">
        <f>COUNTIFS(Data!$A2:H$65471,"&gt;=2/1/2016", Data!$A2:H$65471,"&lt;=2/29/2016", Data!$D2:K$65471, "LEE")</f>
        <v>44</v>
      </c>
      <c r="R7" s="74">
        <f>COUNTIFS(Data!$A2:I$65471,"&gt;=3/1/2016", Data!$A2:I$65471,"&lt;=3/31/2016", Data!$D2:L$65471, "LEE")</f>
        <v>25</v>
      </c>
      <c r="S7" s="74">
        <f>COUNTIFS(Data!$A2:J$65471,"&gt;=4/1/2016", Data!$A2:J$65471,"&lt;=4/30/2016", Data!$D2:M$65471, "LEE")</f>
        <v>8</v>
      </c>
      <c r="T7" s="74">
        <f>COUNTIFS(Data!$A2:K$65471,"&gt;=5/1/2016", Data!$A2:K$65471,"&lt;=5/31/2016", Data!$D2:N$65471, "LEE")</f>
        <v>5</v>
      </c>
      <c r="U7" s="74">
        <f>COUNTIFS(Data!$A2:L$65471,"&gt;=6/1/2016", Data!$A2:L$65471,"&lt;=6/30/2016", Data!$D2:O$65471, "LEE")</f>
        <v>5</v>
      </c>
    </row>
    <row r="8" spans="1:21" ht="15.75" x14ac:dyDescent="0.25">
      <c r="A8" s="7" t="s">
        <v>229</v>
      </c>
      <c r="B8" s="2"/>
      <c r="C8" s="4"/>
      <c r="H8" s="15">
        <f>SUMIFS(Data!H2:$H$65471, Data!A2:$A$65471,"&gt;=7/1/2015", Data!A2:$A$65471,"&lt;=6/30/2016", Data!D2:$D$65471, "LEE")</f>
        <v>5282</v>
      </c>
      <c r="J8" s="74">
        <f>SUMIFS(Data!H2:$H$65471, Data!A2:$A$65471,"&gt;=7/1/2015", Data!A2:$A$65471,"&lt;=7/31/2015", Data!D2:$D$65471, "LEE")</f>
        <v>157</v>
      </c>
      <c r="K8" s="74">
        <f>SUMIFS(Data!$H2:I$65471, Data!$A2:B$65471,"&gt;=8/1/2015", Data!$A2:B$65471,"&lt;=8/31/2015", Data!$D2:E$65471, "LEE")</f>
        <v>206</v>
      </c>
      <c r="L8" s="74">
        <f>SUMIFS(Data!$H2:J$65471, Data!$A2:C$65471,"&gt;=9/1/2015", Data!$A2:C$65471,"&lt;=9/30/2015", Data!$D2:F$65471, "LEE")</f>
        <v>930</v>
      </c>
      <c r="M8" s="74">
        <f>SUMIFS(Data!$H2:K$65471, Data!$A2:D$65471,"&gt;=10/1/2015", Data!$A2:D$65471,"&lt;=10/31/2015", Data!$D2:G$65471, "LEE")</f>
        <v>1278</v>
      </c>
      <c r="N8" s="74">
        <f>SUMIFS(Data!$H2:L$65471, Data!$A2:E$65471,"&gt;=11/1/2015", Data!$A2:E$65471,"&lt;=11/30/2015", Data!$D2:H$65471, "LEE")</f>
        <v>459</v>
      </c>
      <c r="O8" s="74">
        <f>SUMIFS(Data!$H2:M$65471, Data!$A2:F$65471,"&gt;=12/1/2015", Data!$A2:F$65471,"&lt;=12/31/2015", Data!$D2:I$65471, "LEE")</f>
        <v>0</v>
      </c>
      <c r="P8" s="74">
        <f>SUMIFS(Data!$H2:N$65471, Data!$A2:G$65471,"&gt;=1/1/2016", Data!$A2:G$65471,"&lt;=1/31/2016", Data!$D2:J$65471, "LEE")</f>
        <v>578</v>
      </c>
      <c r="Q8" s="74">
        <f>SUMIFS(Data!$H2:O$65471, Data!$A2:H$65471,"&gt;=2/1/2016", Data!$A2:H$65471,"&lt;=2/29/2016", Data!$D2:K$65471, "LEE")</f>
        <v>882</v>
      </c>
      <c r="R8" s="74">
        <f>SUMIFS(Data!$H2:P$65471, Data!$A2:I$65471,"&gt;=3/1/2016", Data!$A2:I$65471,"&lt;=3/31/2016", Data!$D2:L$65471, "LEE")</f>
        <v>495</v>
      </c>
      <c r="S8" s="74">
        <f>SUMIFS(Data!$H2:Q$65471, Data!$A2:J$65471,"&gt;=4/1/2016", Data!$A2:J$65471,"&lt;=4/30/2016", Data!$D2:M$65471, "LEE")</f>
        <v>164</v>
      </c>
      <c r="T8" s="74">
        <f>SUMIFS(Data!$H2:R$65471, Data!$A2:K$65471,"&gt;=5/1/2016", Data!$A2:K$65471,"&lt;=5/31/2016", Data!$D2:N$65471, "LEE")</f>
        <v>55</v>
      </c>
      <c r="U8" s="74">
        <f>SUMIFS(Data!$H2:S$65471, Data!$A2:L$65471,"&gt;=6/1/2016", Data!$A2:L$65471,"&lt;=6/30/2016", Data!$D2:O$65471, "LEE")</f>
        <v>78</v>
      </c>
    </row>
    <row r="9" spans="1:21" ht="11.1" customHeight="1" x14ac:dyDescent="0.25">
      <c r="A9" s="6"/>
    </row>
    <row r="10" spans="1:21" ht="15.75" x14ac:dyDescent="0.25">
      <c r="A10" s="5" t="s">
        <v>8</v>
      </c>
    </row>
    <row r="11" spans="1:21" ht="11.1" customHeight="1" x14ac:dyDescent="0.25">
      <c r="A11" s="6"/>
      <c r="J11" s="130">
        <v>42186</v>
      </c>
      <c r="K11" s="130">
        <v>42217</v>
      </c>
      <c r="L11" s="130">
        <v>42248</v>
      </c>
      <c r="M11" s="130">
        <v>42278</v>
      </c>
      <c r="N11" s="130">
        <v>42309</v>
      </c>
      <c r="O11" s="130">
        <v>42339</v>
      </c>
      <c r="P11" s="130">
        <v>42370</v>
      </c>
      <c r="Q11" s="130">
        <v>42401</v>
      </c>
      <c r="R11" s="130">
        <v>42430</v>
      </c>
      <c r="S11" s="130">
        <v>42461</v>
      </c>
      <c r="T11" s="130">
        <v>42491</v>
      </c>
      <c r="U11" s="130">
        <v>42522</v>
      </c>
    </row>
    <row r="12" spans="1:21" ht="15.75" x14ac:dyDescent="0.25">
      <c r="A12" s="7" t="s">
        <v>230</v>
      </c>
      <c r="B12" s="2"/>
      <c r="C12" s="4"/>
      <c r="H12" s="15">
        <f>COUNTIFS(Data!A2:$A$65471,"&gt;=7/1/2015", Data!A2:$A$65471,"&lt;=6/30/2016", Data!D2:$D$65471, "CHARLOTTE")</f>
        <v>61</v>
      </c>
      <c r="J12" s="74">
        <f>COUNTIFS(Data!A2:$A$65471,"&gt;=7/1/2015", Data!A2:$A$65471,"&lt;=7/31/2015", Data!D2:$D$65471, "CHARLOTTE")</f>
        <v>1</v>
      </c>
      <c r="K12" s="74">
        <f>COUNTIFS(Data!$A7:B$65471,"&gt;=8/1/2015", Data!$A7:B$65471,"&lt;=8/31/2015", Data!$D7:E$65471, "CHARLOTTE")</f>
        <v>3</v>
      </c>
      <c r="L12" s="74">
        <f>COUNTIFS(Data!$A7:C$65471,"&gt;=9/1/2015", Data!$A7:C$65471,"&lt;=9/30/2015", Data!$D7:F$65471, "CHARLOTTE")</f>
        <v>12</v>
      </c>
      <c r="M12" s="74">
        <f>COUNTIFS(Data!$A7:D$65471,"&gt;=10/1/2015", Data!$A7:D$65471,"&lt;=10/31/2015", Data!$D7:G$65471, "CHARLOTTE")</f>
        <v>12</v>
      </c>
      <c r="N12" s="74">
        <f>COUNTIFS(Data!$A7:E$65471,"&gt;=11/1/2015", Data!$A7:E$65471,"&lt;=11/30/2015", Data!$D7:H$65471, "CHARLOTTE")</f>
        <v>5</v>
      </c>
      <c r="O12" s="74">
        <f>COUNTIFS(Data!$A7:F$65471,"&gt;=12/1/2015", Data!$A7:F$65471,"&lt;=12/31/2015", Data!$D7:I$65471, "CHARLOTTE")</f>
        <v>0</v>
      </c>
      <c r="P12" s="74">
        <f>COUNTIFS(Data!$A7:G$65471,"&gt;=1/1/2016", Data!$A7:G$65471,"&lt;=1/31/2016", Data!$D7:J$65471, "CHARLOTTE")</f>
        <v>3</v>
      </c>
      <c r="Q12" s="74">
        <f>COUNTIFS(Data!$A7:H$65471,"&gt;=2/1/2016", Data!$A7:H$65471,"&lt;=2/29/2016", Data!$D7:K$65471, "CHARLOTTE")</f>
        <v>13</v>
      </c>
      <c r="R12" s="74">
        <f>COUNTIFS(Data!$A7:I$65471,"&gt;=3/1/2016", Data!$A7:I$65471,"&lt;=3/31/2016", Data!$D7:L$65471, "CHARLOTTE")</f>
        <v>4</v>
      </c>
      <c r="S12" s="74">
        <f>COUNTIFS(Data!$A7:J$65471,"&gt;=4/1/2016", Data!$A7:J$65471,"&lt;=4/30/2016", Data!$D7:M$65471, "CHARLOTTE")</f>
        <v>1</v>
      </c>
      <c r="T12" s="74">
        <f>COUNTIFS(Data!$A7:K$65471,"&gt;=5/1/2016", Data!$A7:K$65471,"&lt;=5/31/2016", Data!$D7:N$65471, "CHARLOTTE")</f>
        <v>2</v>
      </c>
      <c r="U12" s="74">
        <f>COUNTIFS(Data!$A7:L$65471,"&gt;=6/1/2016", Data!$A7:L$65471,"&lt;=6/30/2016", Data!$D7:O$65471, "CHARLOTTE")</f>
        <v>5</v>
      </c>
    </row>
    <row r="13" spans="1:21" ht="15.75" x14ac:dyDescent="0.25">
      <c r="A13" s="7" t="s">
        <v>229</v>
      </c>
      <c r="B13" s="2"/>
      <c r="C13" s="4"/>
      <c r="H13" s="15">
        <f>SUMIFS(Data!H2:$H$65471, Data!A2:$A$65471,"&gt;=7/1/2015", Data!A2:$A$65471,"&lt;=6/30/2016", Data!D2:$D$65471, "CHARLOTTE")</f>
        <v>886</v>
      </c>
      <c r="J13" s="74">
        <f>SUMIFS(Data!H2:$H$65471, Data!A2:$A$65471,"&gt;=7/1/2015", Data!A2:$A$65471,"&lt;=7/31/2015", Data!D2:$D$65471, "CHARLOTTE")</f>
        <v>2</v>
      </c>
      <c r="K13" s="74">
        <f>SUMIFS(Data!$H7:I$65471, Data!$A7:B$65471,"&gt;=8/1/2015", Data!$A7:B$65471,"&lt;=8/31/2015", Data!$D7:E$65471, "CHARLOTTE")</f>
        <v>80</v>
      </c>
      <c r="L13" s="74">
        <f>SUMIFS(Data!$H7:J$65471, Data!$A7:C$65471,"&gt;=9/1/2015", Data!$A7:C$65471,"&lt;=9/30/2015", Data!$D7:F$65471, "CHARLOTTE")</f>
        <v>161</v>
      </c>
      <c r="M13" s="74">
        <f>SUMIFS(Data!$H7:K$65471, Data!$A7:D$65471,"&gt;=10/1/2015", Data!$A7:D$65471,"&lt;=10/31/2015", Data!$D7:G$65471, "CHARLOTTE")</f>
        <v>197</v>
      </c>
      <c r="N13" s="74">
        <f>SUMIFS(Data!$H7:L$65471, Data!$A7:E$65471,"&gt;=11/1/2015", Data!$A7:E$65471,"&lt;=11/30/2015", Data!$D7:H$65471, "CHARLOTTE")</f>
        <v>88</v>
      </c>
      <c r="O13" s="74">
        <f>SUMIFS(Data!$H7:M$65471, Data!$A7:F$65471,"&gt;=12/1/2015", Data!$A7:F$65471,"&lt;=12/31/2015", Data!$D7:I$65471, "CHARLOTTE")</f>
        <v>0</v>
      </c>
      <c r="P13" s="74">
        <f>SUMIFS(Data!$H7:N$65471, Data!$A7:G$65471,"&gt;=1/1/2016", Data!$A7:G$65471,"&lt;=1/31/2016", Data!$D7:J$65471, "CHARLOTTE")</f>
        <v>31</v>
      </c>
      <c r="Q13" s="74">
        <f>SUMIFS(Data!$H7:O$65471, Data!$A7:H$65471,"&gt;=2/1/2016", Data!$A7:H$65471,"&lt;=2/29/2016", Data!$D7:K$65471, "CHARLOTTE")</f>
        <v>208</v>
      </c>
      <c r="R13" s="74">
        <f>SUMIFS(Data!$H7:P$65471, Data!$A7:I$65471,"&gt;=3/1/2016", Data!$A7:I$65471,"&lt;=3/31/2016", Data!$D7:L$65471, "CHARLOTTE")</f>
        <v>32</v>
      </c>
      <c r="S13" s="74">
        <f>SUMIFS(Data!$H7:Q$65471, Data!$A7:J$65471,"&gt;=4/1/2016", Data!$A7:J$65471,"&lt;=4/30/2016", Data!$D7:M$65471, "CHARLOTTE")</f>
        <v>12</v>
      </c>
      <c r="T13" s="74">
        <f>SUMIFS(Data!$H7:R$65471, Data!$A7:K$65471,"&gt;=5/1/2016", Data!$A7:K$65471,"&lt;=5/31/2016", Data!$D7:N$65471, "CHARLOTTE")</f>
        <v>20</v>
      </c>
      <c r="U13" s="74">
        <f>SUMIFS(Data!$H7:S$65471, Data!$A7:L$65471,"&gt;=6/1/2016", Data!$A7:L$65471,"&lt;=6/30/2016", Data!$D7:O$65471, "CHARLOTTE")</f>
        <v>55</v>
      </c>
    </row>
    <row r="14" spans="1:21" ht="11.1" customHeight="1" x14ac:dyDescent="0.25">
      <c r="A14" s="6"/>
    </row>
    <row r="15" spans="1:21" ht="15.75" x14ac:dyDescent="0.25">
      <c r="A15" s="5" t="s">
        <v>9</v>
      </c>
    </row>
    <row r="16" spans="1:21" ht="11.1" customHeight="1" x14ac:dyDescent="0.25">
      <c r="A16" s="6"/>
      <c r="J16" s="130">
        <v>42186</v>
      </c>
      <c r="K16" s="130">
        <v>42217</v>
      </c>
      <c r="L16" s="130">
        <v>42248</v>
      </c>
      <c r="M16" s="130">
        <v>42278</v>
      </c>
      <c r="N16" s="130">
        <v>42309</v>
      </c>
      <c r="O16" s="130">
        <v>42339</v>
      </c>
      <c r="P16" s="130">
        <v>42370</v>
      </c>
      <c r="Q16" s="130">
        <v>42401</v>
      </c>
      <c r="R16" s="130">
        <v>42430</v>
      </c>
      <c r="S16" s="130">
        <v>42461</v>
      </c>
      <c r="T16" s="130">
        <v>42491</v>
      </c>
      <c r="U16" s="130">
        <v>42522</v>
      </c>
    </row>
    <row r="17" spans="1:21" ht="15.75" x14ac:dyDescent="0.25">
      <c r="A17" s="7" t="s">
        <v>230</v>
      </c>
      <c r="B17" s="2"/>
      <c r="C17" s="4"/>
      <c r="H17" s="15">
        <f>COUNTIFS(Data!A2:$A$65471,"&gt;=7/1/2015", Data!A2:$A$65471,"&lt;=6/30/2016", Data!D2:$D$65471, "COLLIER")</f>
        <v>86</v>
      </c>
      <c r="J17" s="74">
        <f>COUNTIFS(Data!A2:$A$65471,"&gt;=7/1/2015", Data!A2:$A$65471,"&lt;=7/31/2015", Data!D2:$D$65471, "COLLIER")</f>
        <v>12</v>
      </c>
      <c r="K17" s="74">
        <f>COUNTIFS(Data!$A12:B$65471,"&gt;=8/1/2015", Data!$A12:B$65471,"&lt;=8/31/2015", Data!$D12:E$65471, "COLLIER")</f>
        <v>0</v>
      </c>
      <c r="L17" s="74">
        <f>COUNTIFS(Data!$A12:C$65471,"&gt;=9/1/2015", Data!$A12:C$65471,"&lt;=9/30/2015", Data!$D12:F$65471, "COLLIER")</f>
        <v>18</v>
      </c>
      <c r="M17" s="74">
        <f>COUNTIFS(Data!$A12:D$65471,"&gt;=10/1/2015", Data!$A12:D$65471,"&lt;=10/31/2015", Data!$D12:G$65471, "COLLIER")</f>
        <v>16</v>
      </c>
      <c r="N17" s="74">
        <f>COUNTIFS(Data!$A12:E$65471,"&gt;=11/1/2015", Data!$A12:E$65471,"&lt;=11/30/2015", Data!$D12:H$65471, "COLLIER")</f>
        <v>7</v>
      </c>
      <c r="O17" s="74">
        <f>COUNTIFS(Data!$A12:F$65471,"&gt;=12/1/2015", Data!$A12:F$65471,"&lt;=12/31/2015", Data!$D12:I$65471, "COLLIER")</f>
        <v>0</v>
      </c>
      <c r="P17" s="74">
        <f>COUNTIFS(Data!$A12:G$65471,"&gt;=1/1/2016", Data!$A12:G$65471,"&lt;=1/31/2016", Data!$D12:J$65471, "COLLIER")</f>
        <v>12</v>
      </c>
      <c r="Q17" s="74">
        <f>COUNTIFS(Data!$A12:H$65471,"&gt;=2/1/2016", Data!$A12:H$65471,"&lt;=2/29/2016", Data!$D12:K$65471, "COLLIER")</f>
        <v>8</v>
      </c>
      <c r="R17" s="74">
        <f>COUNTIFS(Data!$A12:I$65471,"&gt;=3/1/2016", Data!$A12:I$65471,"&lt;=3/31/2016", Data!$D12:L$65471, "COLLIER")</f>
        <v>5</v>
      </c>
      <c r="S17" s="74">
        <f>COUNTIFS(Data!$A12:J$65471,"&gt;=4/1/2016", Data!$A12:J$65471,"&lt;=4/30/2016", Data!$D12:M$65471, "COLLIER")</f>
        <v>5</v>
      </c>
      <c r="T17" s="74">
        <f>COUNTIFS(Data!$A12:K$65471,"&gt;=5/1/2016", Data!$A12:K$65471,"&lt;=5/31/2016", Data!$D12:N$65471, "COLLIER")</f>
        <v>1</v>
      </c>
      <c r="U17" s="74">
        <f>COUNTIFS(Data!$A12:L$65471,"&gt;=6/1/2016", Data!$A12:L$65471,"&lt;=6/30/2016", Data!$D12:O$65471, "COLLIER")</f>
        <v>2</v>
      </c>
    </row>
    <row r="18" spans="1:21" ht="15.75" x14ac:dyDescent="0.25">
      <c r="A18" s="7" t="s">
        <v>229</v>
      </c>
      <c r="B18" s="2"/>
      <c r="C18" s="4"/>
      <c r="H18" s="15">
        <f>SUMIFS(Data!H2:$H$65471, Data!A2:$A$65471,"&gt;=7/1/2015", Data!A2:$A$65471,"&lt;=6/30/2016", Data!D2:$D$65471, "COLLIER")</f>
        <v>1728</v>
      </c>
      <c r="J18" s="74">
        <f>SUMIFS(Data!H2:$H$65471, Data!A2:$A$65471,"&gt;=7/1/2015", Data!A2:$A$65471,"&lt;=7/31/2015", Data!D2:$D$65471, "COLLIER")</f>
        <v>154</v>
      </c>
      <c r="K18" s="74">
        <f>SUMIFS(Data!$H12:I$65471, Data!$A12:B$65471,"&gt;=8/1/2015", Data!$A12:B$65471,"&lt;=8/31/2015", Data!$D12:E$65471, "COLLIER")</f>
        <v>0</v>
      </c>
      <c r="L18" s="74">
        <f>SUMIFS(Data!$H12:J$65471, Data!$A12:C$65471,"&gt;=9/1/2015", Data!$A12:C$65471,"&lt;=9/30/2015", Data!$D12:F$65471, "COLLIER")</f>
        <v>386</v>
      </c>
      <c r="M18" s="74">
        <f>SUMIFS(Data!$H12:K$65471, Data!$A12:D$65471,"&gt;=10/1/2015", Data!$A12:D$65471,"&lt;=10/31/2015", Data!$D12:G$65471, "COLLIER")</f>
        <v>365</v>
      </c>
      <c r="N18" s="74">
        <f>SUMIFS(Data!$H12:L$65471, Data!$A12:E$65471,"&gt;=11/1/2015", Data!$A12:E$65471,"&lt;=11/30/2015", Data!$D12:H$65471, "COLLIER")</f>
        <v>175</v>
      </c>
      <c r="O18" s="74">
        <f>SUMIFS(Data!$H12:M$65471, Data!$A12:F$65471,"&gt;=12/1/2015", Data!$A12:F$65471,"&lt;=12/31/2015", Data!$D12:I$65471, "COLLIER")</f>
        <v>0</v>
      </c>
      <c r="P18" s="74">
        <f>SUMIFS(Data!$H12:N$65471, Data!$A12:G$65471,"&gt;=1/1/2016", Data!$A12:G$65471,"&lt;=1/31/2016", Data!$D12:J$65471, "COLLIER")</f>
        <v>168</v>
      </c>
      <c r="Q18" s="74">
        <f>SUMIFS(Data!$H12:O$65471, Data!$A12:H$65471,"&gt;=2/1/2016", Data!$A12:H$65471,"&lt;=2/29/2016", Data!$D12:K$65471, "COLLIER")</f>
        <v>200</v>
      </c>
      <c r="R18" s="74">
        <f>SUMIFS(Data!$H12:P$65471, Data!$A12:I$65471,"&gt;=3/1/2016", Data!$A12:I$65471,"&lt;=3/31/2016", Data!$D12:L$65471, "COLLIER")</f>
        <v>125</v>
      </c>
      <c r="S18" s="74">
        <f>SUMIFS(Data!$H12:Q$65471, Data!$A12:J$65471,"&gt;=4/1/2016", Data!$A12:J$65471,"&lt;=4/30/2016", Data!$D12:M$65471, "COLLIER")</f>
        <v>102</v>
      </c>
      <c r="T18" s="74">
        <f>SUMIFS(Data!$H12:R$65471, Data!$A12:K$65471,"&gt;=5/1/2016", Data!$A12:K$65471,"&lt;=5/31/2016", Data!$D12:N$65471, "COLLIER")</f>
        <v>25</v>
      </c>
      <c r="U18" s="74">
        <f>SUMIFS(Data!$H12:S$65471, Data!$A12:L$65471,"&gt;=6/1/2016", Data!$A12:L$65471,"&lt;=6/30/2016", Data!$D12:O$65471, "COLLIER")</f>
        <v>28</v>
      </c>
    </row>
    <row r="19" spans="1:21" ht="11.1" customHeight="1" x14ac:dyDescent="0.25">
      <c r="A19" s="6"/>
    </row>
    <row r="20" spans="1:21" ht="15.75" x14ac:dyDescent="0.25">
      <c r="A20" s="5" t="s">
        <v>10</v>
      </c>
    </row>
    <row r="21" spans="1:21" ht="11.1" customHeight="1" x14ac:dyDescent="0.25">
      <c r="A21" s="6"/>
      <c r="J21" s="130">
        <v>42186</v>
      </c>
      <c r="K21" s="130">
        <v>42217</v>
      </c>
      <c r="L21" s="130">
        <v>42248</v>
      </c>
      <c r="M21" s="130">
        <v>42278</v>
      </c>
      <c r="N21" s="130">
        <v>42309</v>
      </c>
      <c r="O21" s="130">
        <v>42339</v>
      </c>
      <c r="P21" s="130">
        <v>42370</v>
      </c>
      <c r="Q21" s="130">
        <v>42401</v>
      </c>
      <c r="R21" s="130">
        <v>42430</v>
      </c>
      <c r="S21" s="130">
        <v>42461</v>
      </c>
      <c r="T21" s="130">
        <v>42491</v>
      </c>
      <c r="U21" s="130">
        <v>42522</v>
      </c>
    </row>
    <row r="22" spans="1:21" ht="15.75" x14ac:dyDescent="0.25">
      <c r="A22" s="7" t="s">
        <v>230</v>
      </c>
      <c r="B22" s="2"/>
      <c r="C22" s="4"/>
      <c r="H22" s="15">
        <f>COUNTIFS(Data!A2:$A$65471,"&gt;=7/1/2015", Data!A2:$A$65471,"&lt;=6/30/2016", Data!D2:$D$65471, "HENDRY/GLADES")</f>
        <v>4</v>
      </c>
      <c r="J22" s="74">
        <f>COUNTIFS(Data!A2:$A$65471,"&gt;=7/1/2015", Data!A2:$A$65471,"&lt;=7/31/2015", Data!D2:$D$65471, "HENDRY/GLADES")</f>
        <v>0</v>
      </c>
      <c r="K22" s="74">
        <f>COUNTIFS(Data!$A17:B$65471,"&gt;=8/1/2015", Data!$A17:B$65471,"&lt;=8/31/2015", Data!$D17:E$65471, "HENDRY/GLADES")</f>
        <v>0</v>
      </c>
      <c r="L22" s="74">
        <f>COUNTIFS(Data!$A17:C$65471,"&gt;=9/1/2015", Data!$A17:C$65471,"&lt;=9/30/2015", Data!$D17:F$65471, "HENDRY/GLADES")</f>
        <v>0</v>
      </c>
      <c r="M22" s="74">
        <f>COUNTIFS(Data!$A17:D$65471,"&gt;=10/1/2015", Data!$A17:D$65471,"&lt;=10/31/2015", Data!$D17:G$65471, "HENDRY/GLADES")</f>
        <v>1</v>
      </c>
      <c r="N22" s="74">
        <f>COUNTIFS(Data!$A17:E$65471,"&gt;=11/1/2015", Data!$A17:E$65471,"&lt;=11/30/2015", Data!$D17:H$65471, "HENDRY/GLADES")</f>
        <v>0</v>
      </c>
      <c r="O22" s="74">
        <f>COUNTIFS(Data!$A17:F$65471,"&gt;=12/1/2015", Data!$A17:F$65471,"&lt;=12/31/2015", Data!$D17:I$65471, "HENDRY/GLADES")</f>
        <v>0</v>
      </c>
      <c r="P22" s="74">
        <f>COUNTIFS(Data!$A17:G$65471,"&gt;=1/1/2016", Data!$A17:G$65471,"&lt;=1/31/2016", Data!$D17:J$65471, "HENDRY/GLADES")</f>
        <v>0</v>
      </c>
      <c r="Q22" s="74">
        <f>COUNTIFS(Data!$A17:H$65471,"&gt;=2/1/2016", Data!$A17:H$65471,"&lt;=2/29/2016", Data!$D17:K$65471, "HENDRY/GLADES")</f>
        <v>1</v>
      </c>
      <c r="R22" s="74">
        <f>COUNTIFS(Data!$A17:I$65471,"&gt;=3/1/2016", Data!$A17:I$65471,"&lt;=3/31/2016", Data!$D17:L$65471, "HENDRY/GLADES")</f>
        <v>2</v>
      </c>
      <c r="S22" s="74">
        <f>COUNTIFS(Data!$A17:J$65471,"&gt;=4/1/2016", Data!$A17:J$65471,"&lt;=4/30/2016", Data!$D17:M$65471, "HENDRY/GLADES")</f>
        <v>0</v>
      </c>
      <c r="T22" s="74">
        <f>COUNTIFS(Data!$A17:K$65471,"&gt;=5/1/2016", Data!$A17:K$65471,"&lt;=5/31/2016", Data!$D17:N$65471, "HENDRY/GLADES")</f>
        <v>0</v>
      </c>
      <c r="U22" s="74">
        <f>COUNTIFS(Data!$A17:L$65471,"&gt;=6/1/2016", Data!$A17:L$65471,"&lt;=6/30/2016", Data!$D17:O$65471, "HENDRY/GLADES")</f>
        <v>0</v>
      </c>
    </row>
    <row r="23" spans="1:21" ht="15.75" x14ac:dyDescent="0.25">
      <c r="A23" s="7" t="s">
        <v>229</v>
      </c>
      <c r="B23" s="2"/>
      <c r="C23" s="4"/>
      <c r="H23" s="15">
        <f>SUMIFS(Data!H2:$H$65471, Data!A2:$A$65471,"&gt;=7/1/2015", Data!A2:$A$65471,"&lt;=6/30/2016", Data!D2:$D$65471, "HENDRY/GLADES")</f>
        <v>19</v>
      </c>
      <c r="J23" s="74">
        <f>SUMIFS(Data!H2:$H$65471, Data!A2:$A$65471,"&gt;=7/1/2015", Data!A2:$A$65471,"&lt;=7/31/2015", Data!D2:$D$65471, "HENDRY/GLADES")</f>
        <v>0</v>
      </c>
      <c r="K23" s="74">
        <f>SUMIFS(Data!$H17:I$65471, Data!$A17:B$65471,"&gt;=8/1/2015", Data!$A17:B$65471,"&lt;=8/31/2015", Data!$D17:E$65471, "HENDRY/GLADES")</f>
        <v>0</v>
      </c>
      <c r="L23" s="74">
        <f>SUMIFS(Data!$H17:J$65471, Data!$A17:C$65471,"&gt;=9/1/2015", Data!$A17:C$65471,"&lt;=9/30/2015", Data!$D17:F$65471, "HENDRY/GLADES")</f>
        <v>0</v>
      </c>
      <c r="M23" s="74">
        <f>SUMIFS(Data!$H17:K$65471, Data!$A17:D$65471,"&gt;=10/1/2015", Data!$A17:D$65471,"&lt;=10/31/2015", Data!$D17:G$65471, "HENDRY/GLADES")</f>
        <v>6</v>
      </c>
      <c r="N23" s="74">
        <f>SUMIFS(Data!$H17:L$65471, Data!$A17:E$65471,"&gt;=11/1/2015", Data!$A17:E$65471,"&lt;=11/30/2015", Data!$D17:H$65471, "HENDRY/GLADES")</f>
        <v>0</v>
      </c>
      <c r="O23" s="74">
        <f>SUMIFS(Data!$H17:M$65471, Data!$A17:F$65471,"&gt;=12/1/2015", Data!$A17:F$65471,"&lt;=12/31/2015", Data!$D17:I$65471, "HENDRY/GLADES")</f>
        <v>0</v>
      </c>
      <c r="P23" s="74">
        <f>SUMIFS(Data!$H17:N$65471, Data!$A17:G$65471,"&gt;=1/1/2016", Data!$A17:G$65471,"&lt;=1/31/2016", Data!$D17:J$65471, "HENDRY/GLADES")</f>
        <v>0</v>
      </c>
      <c r="Q23" s="74">
        <f>SUMIFS(Data!$H17:O$65471, Data!$A17:H$65471,"&gt;=2/1/2016", Data!$A17:H$65471,"&lt;=2/29/2016", Data!$D17:K$65471, "HENDRY/GLADES")</f>
        <v>5</v>
      </c>
      <c r="R23" s="74">
        <f>SUMIFS(Data!$H17:P$65471, Data!$A17:I$65471,"&gt;=3/1/2016", Data!$A17:I$65471,"&lt;=3/31/2016", Data!$D17:L$65471, "HENDRY/GLADES")</f>
        <v>8</v>
      </c>
      <c r="S23" s="74">
        <f>SUMIFS(Data!$H17:Q$65471, Data!$A17:J$65471,"&gt;=4/1/2016", Data!$A17:J$65471,"&lt;=4/30/2016", Data!$D17:M$65471, "HENDRY/GLADES")</f>
        <v>0</v>
      </c>
      <c r="T23" s="74">
        <f>SUMIFS(Data!$H17:R$65471, Data!$A17:K$65471,"&gt;=5/1/2016", Data!$A17:K$65471,"&lt;=5/31/2016", Data!$D17:N$65471, "HENDRY/GLADES")</f>
        <v>0</v>
      </c>
      <c r="U23" s="74">
        <f>SUMIFS(Data!$H17:S$65471, Data!$A17:L$65471,"&gt;=6/1/2016", Data!$A17:L$65471,"&lt;=6/30/2016", Data!$D17:O$65471, "HENDRY/GLADES")</f>
        <v>0</v>
      </c>
    </row>
  </sheetData>
  <mergeCells count="3">
    <mergeCell ref="A1:H1"/>
    <mergeCell ref="A3:H3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2" sqref="A2:H2"/>
    </sheetView>
  </sheetViews>
  <sheetFormatPr defaultRowHeight="15" x14ac:dyDescent="0.25"/>
  <sheetData>
    <row r="1" spans="1:8" ht="26.25" x14ac:dyDescent="0.4">
      <c r="A1" s="131" t="s">
        <v>238</v>
      </c>
      <c r="B1" s="131"/>
      <c r="C1" s="131"/>
      <c r="D1" s="131"/>
      <c r="E1" s="131"/>
      <c r="F1" s="131"/>
      <c r="G1" s="131"/>
      <c r="H1" s="131"/>
    </row>
    <row r="2" spans="1:8" s="74" customFormat="1" ht="18.75" x14ac:dyDescent="0.3">
      <c r="A2" s="133" t="s">
        <v>239</v>
      </c>
      <c r="B2" s="133"/>
      <c r="C2" s="133"/>
      <c r="D2" s="133"/>
      <c r="E2" s="133"/>
      <c r="F2" s="133"/>
      <c r="G2" s="133"/>
      <c r="H2" s="133"/>
    </row>
    <row r="3" spans="1:8" ht="26.25" x14ac:dyDescent="0.4">
      <c r="A3" s="132" t="s">
        <v>222</v>
      </c>
      <c r="B3" s="132"/>
      <c r="C3" s="132"/>
      <c r="D3" s="132"/>
      <c r="E3" s="132"/>
      <c r="F3" s="132"/>
      <c r="G3" s="132"/>
      <c r="H3" s="132"/>
    </row>
    <row r="4" spans="1:8" s="74" customFormat="1" ht="18.75" x14ac:dyDescent="0.3">
      <c r="A4" s="134" t="s">
        <v>233</v>
      </c>
      <c r="B4" s="134"/>
      <c r="C4" s="134"/>
      <c r="D4" s="134"/>
      <c r="E4" s="134"/>
      <c r="F4" s="134"/>
      <c r="G4" s="134"/>
      <c r="H4" s="134"/>
    </row>
    <row r="5" spans="1:8" x14ac:dyDescent="0.25">
      <c r="A5" s="74"/>
      <c r="B5" s="74"/>
      <c r="C5" s="74"/>
      <c r="D5" s="74"/>
      <c r="E5" s="74"/>
      <c r="F5" s="74"/>
      <c r="G5" s="74"/>
      <c r="H5" s="74"/>
    </row>
    <row r="6" spans="1:8" ht="15.75" x14ac:dyDescent="0.25">
      <c r="A6" s="5" t="s">
        <v>232</v>
      </c>
      <c r="B6" s="74"/>
      <c r="C6" s="74"/>
      <c r="D6" s="74"/>
      <c r="E6" s="74"/>
      <c r="F6" s="74"/>
      <c r="G6" s="74"/>
      <c r="H6" s="74"/>
    </row>
    <row r="7" spans="1:8" ht="15.75" x14ac:dyDescent="0.25">
      <c r="A7" s="6"/>
      <c r="B7" s="74"/>
      <c r="C7" s="74"/>
      <c r="D7" s="74"/>
      <c r="E7" s="74"/>
      <c r="F7" s="74"/>
      <c r="G7" s="74"/>
      <c r="H7" s="74"/>
    </row>
    <row r="8" spans="1:8" ht="15.75" x14ac:dyDescent="0.25">
      <c r="A8" s="7" t="s">
        <v>235</v>
      </c>
      <c r="B8" s="2"/>
      <c r="C8" s="4"/>
      <c r="D8" s="74"/>
      <c r="E8" s="74"/>
      <c r="F8" s="74"/>
      <c r="G8" s="74"/>
      <c r="H8" s="74">
        <f>COUNTIFS(Data!A2:$A$65471,"&gt;=8/10/2015", Data!A2:$A$65471,"&lt;=12/18/2015", Data!D2:$D$65471, "LEE")</f>
        <v>130</v>
      </c>
    </row>
    <row r="9" spans="1:8" ht="15.75" x14ac:dyDescent="0.25">
      <c r="A9" s="7" t="s">
        <v>236</v>
      </c>
      <c r="B9" s="2"/>
      <c r="C9" s="4"/>
      <c r="D9" s="74"/>
      <c r="E9" s="74"/>
      <c r="F9" s="74"/>
      <c r="G9" s="74"/>
      <c r="H9" s="74">
        <f>SUMIFS(Data!H2:$H$65471, Data!A2:$A$65471,"&gt;=8/10/2015", Data!A2:$A$65471,"&lt;=12/18/2015", Data!D2:$D$65471, "LEE")</f>
        <v>2873</v>
      </c>
    </row>
    <row r="10" spans="1:8" ht="15.75" x14ac:dyDescent="0.25">
      <c r="A10" s="6"/>
      <c r="B10" s="74"/>
      <c r="C10" s="74"/>
      <c r="D10" s="74"/>
      <c r="E10" s="74"/>
      <c r="F10" s="74"/>
      <c r="G10" s="74"/>
      <c r="H10" s="74"/>
    </row>
    <row r="11" spans="1:8" ht="15.75" x14ac:dyDescent="0.25">
      <c r="A11" s="5" t="s">
        <v>8</v>
      </c>
      <c r="B11" s="74"/>
      <c r="C11" s="74"/>
      <c r="D11" s="74"/>
      <c r="E11" s="74"/>
      <c r="F11" s="74"/>
      <c r="G11" s="74"/>
      <c r="H11" s="74"/>
    </row>
    <row r="12" spans="1:8" ht="15.75" x14ac:dyDescent="0.25">
      <c r="A12" s="6"/>
      <c r="B12" s="74"/>
      <c r="C12" s="74"/>
      <c r="D12" s="74"/>
      <c r="E12" s="74"/>
      <c r="F12" s="74"/>
      <c r="G12" s="74"/>
      <c r="H12" s="74"/>
    </row>
    <row r="13" spans="1:8" ht="15.75" x14ac:dyDescent="0.25">
      <c r="A13" s="7" t="s">
        <v>235</v>
      </c>
      <c r="B13" s="2"/>
      <c r="C13" s="4"/>
      <c r="D13" s="74"/>
      <c r="E13" s="74"/>
      <c r="F13" s="74"/>
      <c r="G13" s="74"/>
      <c r="H13" s="74">
        <f>COUNTIFS(Data!A2:$A$65471,"&gt;=8/10/2015", Data!A2:$A$65471,"&lt;=12/18/2015", Data!D2:$D$65471, "CHARLOTTE")</f>
        <v>32</v>
      </c>
    </row>
    <row r="14" spans="1:8" ht="15.75" x14ac:dyDescent="0.25">
      <c r="A14" s="7" t="s">
        <v>236</v>
      </c>
      <c r="B14" s="2"/>
      <c r="C14" s="4"/>
      <c r="D14" s="74"/>
      <c r="E14" s="74"/>
      <c r="F14" s="74"/>
      <c r="G14" s="74"/>
      <c r="H14" s="74">
        <f>SUMIFS(Data!H2:$H$65471, Data!A2:$A$65471,"&gt;=8/10/2015", Data!A2:$A$65471,"&lt;=12/18/2015", Data!D2:$D$65471, "CHARLOTTE")</f>
        <v>526</v>
      </c>
    </row>
    <row r="15" spans="1:8" ht="15.75" x14ac:dyDescent="0.25">
      <c r="A15" s="6"/>
      <c r="B15" s="74"/>
      <c r="C15" s="74"/>
      <c r="D15" s="74"/>
      <c r="E15" s="74"/>
      <c r="F15" s="74"/>
      <c r="G15" s="74"/>
      <c r="H15" s="74"/>
    </row>
    <row r="16" spans="1:8" ht="15.75" x14ac:dyDescent="0.25">
      <c r="A16" s="5" t="s">
        <v>9</v>
      </c>
      <c r="B16" s="74"/>
      <c r="C16" s="74"/>
      <c r="D16" s="74"/>
      <c r="E16" s="74"/>
      <c r="F16" s="74"/>
      <c r="G16" s="74"/>
      <c r="H16" s="74"/>
    </row>
    <row r="17" spans="1:8" ht="15.75" x14ac:dyDescent="0.25">
      <c r="A17" s="6"/>
      <c r="B17" s="74"/>
      <c r="C17" s="74"/>
      <c r="D17" s="74"/>
      <c r="E17" s="74"/>
      <c r="F17" s="74"/>
      <c r="G17" s="74"/>
      <c r="H17" s="74"/>
    </row>
    <row r="18" spans="1:8" ht="15.75" x14ac:dyDescent="0.25">
      <c r="A18" s="7" t="s">
        <v>235</v>
      </c>
      <c r="B18" s="2"/>
      <c r="C18" s="4"/>
      <c r="D18" s="74"/>
      <c r="E18" s="74"/>
      <c r="F18" s="74"/>
      <c r="G18" s="74"/>
      <c r="H18" s="74">
        <f>COUNTIFS(Data!A2:$A$65471,"&gt;=8/10/2015", Data!A2:$A$65471,"&lt;=12/18/2015", Data!D2:$D$65471, "COLLIER")</f>
        <v>41</v>
      </c>
    </row>
    <row r="19" spans="1:8" ht="15.75" x14ac:dyDescent="0.25">
      <c r="A19" s="7" t="s">
        <v>236</v>
      </c>
      <c r="B19" s="2"/>
      <c r="C19" s="4"/>
      <c r="D19" s="74"/>
      <c r="E19" s="74"/>
      <c r="F19" s="74"/>
      <c r="G19" s="74"/>
      <c r="H19" s="74">
        <f>SUMIFS(Data!H2:$H$65471, Data!A2:$A$65471,"&gt;=8/10/2015", Data!A2:$A$65471,"&lt;=12/18/2015", Data!D2:$D$65471, "COLLIER")</f>
        <v>926</v>
      </c>
    </row>
    <row r="20" spans="1:8" ht="15.75" x14ac:dyDescent="0.25">
      <c r="A20" s="6"/>
      <c r="B20" s="74"/>
      <c r="C20" s="74"/>
      <c r="D20" s="74"/>
      <c r="E20" s="74"/>
      <c r="F20" s="74"/>
      <c r="G20" s="74"/>
      <c r="H20" s="74"/>
    </row>
    <row r="21" spans="1:8" ht="15.75" x14ac:dyDescent="0.25">
      <c r="A21" s="5" t="s">
        <v>10</v>
      </c>
      <c r="B21" s="74"/>
      <c r="C21" s="74"/>
      <c r="D21" s="74"/>
      <c r="E21" s="74"/>
      <c r="F21" s="74"/>
      <c r="G21" s="74"/>
      <c r="H21" s="74"/>
    </row>
    <row r="22" spans="1:8" ht="15.75" x14ac:dyDescent="0.25">
      <c r="A22" s="6"/>
      <c r="B22" s="74"/>
      <c r="C22" s="74"/>
      <c r="D22" s="74"/>
      <c r="E22" s="74"/>
      <c r="F22" s="74"/>
      <c r="G22" s="74"/>
      <c r="H22" s="74"/>
    </row>
    <row r="23" spans="1:8" ht="15.75" x14ac:dyDescent="0.25">
      <c r="A23" s="7" t="s">
        <v>235</v>
      </c>
      <c r="B23" s="2"/>
      <c r="C23" s="4"/>
      <c r="D23" s="74"/>
      <c r="E23" s="74"/>
      <c r="F23" s="74"/>
      <c r="G23" s="74"/>
      <c r="H23" s="74">
        <f>COUNTIFS(Data!A2:$A$65471,"&gt;=8/10/2015", Data!A2:$A$65471,"&lt;=12/18/2015", Data!D2:$D$65471, "HENDRY/GLADES")</f>
        <v>1</v>
      </c>
    </row>
    <row r="24" spans="1:8" ht="15.75" x14ac:dyDescent="0.25">
      <c r="A24" s="7" t="s">
        <v>236</v>
      </c>
      <c r="B24" s="2"/>
      <c r="C24" s="4"/>
      <c r="D24" s="74"/>
      <c r="E24" s="74"/>
      <c r="F24" s="74"/>
      <c r="G24" s="74"/>
      <c r="H24" s="74">
        <f>SUMIFS(Data!H2:$H$65471, Data!A2:$A$65471,"&gt;=8/10/2015", Data!A2:$A$65471,"&lt;=12/18/2015", Data!D2:$D$65471, "HENDRY/GLADES")</f>
        <v>6</v>
      </c>
    </row>
    <row r="26" spans="1:8" ht="15.75" x14ac:dyDescent="0.25">
      <c r="A26" s="124" t="s">
        <v>224</v>
      </c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6"/>
      <c r="B27" s="125"/>
      <c r="C27" s="125"/>
      <c r="D27" s="125"/>
      <c r="E27" s="125"/>
      <c r="F27" s="125"/>
      <c r="G27" s="125"/>
      <c r="H27" s="125"/>
    </row>
    <row r="28" spans="1:8" ht="15.75" x14ac:dyDescent="0.25">
      <c r="A28" s="127" t="s">
        <v>235</v>
      </c>
      <c r="B28" s="128"/>
      <c r="C28" s="129"/>
      <c r="D28" s="125"/>
      <c r="E28" s="125"/>
      <c r="F28" s="125"/>
      <c r="G28" s="125"/>
      <c r="H28" s="125">
        <f>SUM(H8,H13,H18,H23)</f>
        <v>204</v>
      </c>
    </row>
    <row r="29" spans="1:8" ht="15.75" x14ac:dyDescent="0.25">
      <c r="A29" s="127" t="s">
        <v>236</v>
      </c>
      <c r="B29" s="128"/>
      <c r="C29" s="129"/>
      <c r="D29" s="125"/>
      <c r="E29" s="125"/>
      <c r="F29" s="125"/>
      <c r="G29" s="125"/>
      <c r="H29" s="125">
        <f>SUM(H9,H14,H19,H24)</f>
        <v>4331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4" sqref="A4:H4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238</v>
      </c>
      <c r="B1" s="131"/>
      <c r="C1" s="131"/>
      <c r="D1" s="131"/>
      <c r="E1" s="131"/>
      <c r="F1" s="131"/>
      <c r="G1" s="131"/>
      <c r="H1" s="131"/>
    </row>
    <row r="2" spans="1:8" ht="18.75" x14ac:dyDescent="0.3">
      <c r="A2" s="133" t="s">
        <v>239</v>
      </c>
      <c r="B2" s="133"/>
      <c r="C2" s="133"/>
      <c r="D2" s="133"/>
      <c r="E2" s="133"/>
      <c r="F2" s="133"/>
      <c r="G2" s="133"/>
      <c r="H2" s="133"/>
    </row>
    <row r="3" spans="1:8" ht="26.25" x14ac:dyDescent="0.4">
      <c r="A3" s="132" t="s">
        <v>240</v>
      </c>
      <c r="B3" s="132"/>
      <c r="C3" s="132"/>
      <c r="D3" s="132"/>
      <c r="E3" s="132"/>
      <c r="F3" s="132"/>
      <c r="G3" s="132"/>
      <c r="H3" s="132"/>
    </row>
    <row r="4" spans="1:8" ht="18.75" x14ac:dyDescent="0.3">
      <c r="A4" s="134" t="s">
        <v>225</v>
      </c>
      <c r="B4" s="134"/>
      <c r="C4" s="134"/>
      <c r="D4" s="134"/>
      <c r="E4" s="134"/>
      <c r="F4" s="134"/>
      <c r="G4" s="134"/>
      <c r="H4" s="134"/>
    </row>
    <row r="6" spans="1:8" ht="15.75" x14ac:dyDescent="0.25">
      <c r="A6" s="5" t="s">
        <v>232</v>
      </c>
    </row>
    <row r="7" spans="1:8" ht="15.75" x14ac:dyDescent="0.25">
      <c r="A7" s="6"/>
    </row>
    <row r="8" spans="1:8" ht="15.75" x14ac:dyDescent="0.25">
      <c r="A8" s="7" t="s">
        <v>235</v>
      </c>
      <c r="B8" s="2"/>
      <c r="C8" s="4"/>
      <c r="H8" s="74">
        <f>COUNTIFS(Data!A2:$A$65471,"&gt;=1/4/2016", Data!A2:$A$65471,"&lt;=5/6/2016", Data!D2:$D$65471, "LEE")</f>
        <v>105</v>
      </c>
    </row>
    <row r="9" spans="1:8" ht="15.75" x14ac:dyDescent="0.25">
      <c r="A9" s="7" t="s">
        <v>236</v>
      </c>
      <c r="B9" s="2"/>
      <c r="C9" s="4"/>
      <c r="H9" s="74">
        <f>SUMIFS(Data!H2:$H$65471, Data!A2:$A$65471,"&gt;=1/4/2016", Data!A2:$A$65471,"&lt;=5/6/2016", Data!D2:$D$65471, "LEE")</f>
        <v>2119</v>
      </c>
    </row>
    <row r="10" spans="1:8" ht="15.75" x14ac:dyDescent="0.25">
      <c r="A10" s="6"/>
    </row>
    <row r="11" spans="1:8" ht="15.75" x14ac:dyDescent="0.25">
      <c r="A11" s="5" t="s">
        <v>8</v>
      </c>
    </row>
    <row r="12" spans="1:8" ht="15.75" x14ac:dyDescent="0.25">
      <c r="A12" s="6"/>
    </row>
    <row r="13" spans="1:8" ht="15.75" x14ac:dyDescent="0.25">
      <c r="A13" s="7" t="s">
        <v>237</v>
      </c>
      <c r="B13" s="2"/>
      <c r="C13" s="4"/>
      <c r="H13" s="74">
        <f>COUNTIFS(Data!A2:$A$65471,"&gt;=1/4/2016", Data!A2:$A$65471,"&lt;=5/6/2016", Data!D2:$D$65471, "CHARLOTTE")</f>
        <v>21</v>
      </c>
    </row>
    <row r="14" spans="1:8" ht="15.75" x14ac:dyDescent="0.25">
      <c r="A14" s="7" t="s">
        <v>236</v>
      </c>
      <c r="B14" s="2"/>
      <c r="C14" s="4"/>
      <c r="H14" s="74">
        <f>SUMIFS(Data!H2:$H$65471, Data!A2:$A$65471,"&gt;=1/4/2016", Data!A2:$A$65471,"&lt;=5/6/2016", Data!D2:$D$65471, "CHARLOTTE")</f>
        <v>283</v>
      </c>
    </row>
    <row r="15" spans="1:8" ht="15.75" x14ac:dyDescent="0.25">
      <c r="A15" s="6"/>
    </row>
    <row r="16" spans="1:8" ht="15.75" x14ac:dyDescent="0.25">
      <c r="A16" s="5" t="s">
        <v>9</v>
      </c>
    </row>
    <row r="17" spans="1:8" ht="15.75" x14ac:dyDescent="0.25">
      <c r="A17" s="6"/>
    </row>
    <row r="18" spans="1:8" ht="15.75" x14ac:dyDescent="0.25">
      <c r="A18" s="7" t="s">
        <v>237</v>
      </c>
      <c r="B18" s="2"/>
      <c r="C18" s="4"/>
      <c r="H18" s="74">
        <f>COUNTIFS(Data!A2:$A$65471,"&gt;=1/4/2016", Data!A2:$A$65471,"&lt;=5/6/2016", Data!D2:$D$65471, "COLLIER")</f>
        <v>30</v>
      </c>
    </row>
    <row r="19" spans="1:8" ht="15.75" x14ac:dyDescent="0.25">
      <c r="A19" s="7" t="s">
        <v>236</v>
      </c>
      <c r="B19" s="2"/>
      <c r="C19" s="4"/>
      <c r="H19" s="74">
        <f>SUMIFS(Data!H2:$H$65471, Data!A2:$A$65471,"&gt;=1/4/2016", Data!A2:$A$65471,"&lt;=5/6/2016", Data!D2:$D$65471, "COLLIER")</f>
        <v>595</v>
      </c>
    </row>
    <row r="20" spans="1:8" ht="15.75" x14ac:dyDescent="0.25">
      <c r="A20" s="6"/>
    </row>
    <row r="21" spans="1:8" ht="15.75" x14ac:dyDescent="0.25">
      <c r="A21" s="5" t="s">
        <v>10</v>
      </c>
    </row>
    <row r="22" spans="1:8" ht="15.75" x14ac:dyDescent="0.25">
      <c r="A22" s="6"/>
    </row>
    <row r="23" spans="1:8" ht="15.75" x14ac:dyDescent="0.25">
      <c r="A23" s="7" t="s">
        <v>237</v>
      </c>
      <c r="B23" s="2"/>
      <c r="C23" s="4"/>
      <c r="H23" s="74">
        <f>COUNTIFS(Data!A2:$A$65471,"&gt;=1/4/2016", Data!A2:$A$65471,"&lt;=5/6/2016", Data!D2:$D$65471, "HENDRY/GLADES")</f>
        <v>3</v>
      </c>
    </row>
    <row r="24" spans="1:8" ht="15.75" x14ac:dyDescent="0.25">
      <c r="A24" s="7" t="s">
        <v>236</v>
      </c>
      <c r="B24" s="2"/>
      <c r="C24" s="4"/>
      <c r="H24" s="74">
        <f>SUMIFS(Data!H2:$H$65471, Data!A2:$A$65471,"&gt;=1/4/2016", Data!A2:$A$65471,"&lt;=5/6/2016", Data!D2:$D$65471, "HENDRY/GLADES")</f>
        <v>13</v>
      </c>
    </row>
    <row r="26" spans="1:8" ht="15.75" x14ac:dyDescent="0.25">
      <c r="A26" s="124" t="s">
        <v>224</v>
      </c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6"/>
      <c r="B27" s="125"/>
      <c r="C27" s="125"/>
      <c r="D27" s="125"/>
      <c r="E27" s="125"/>
      <c r="F27" s="125"/>
      <c r="G27" s="125"/>
      <c r="H27" s="125"/>
    </row>
    <row r="28" spans="1:8" ht="15.75" x14ac:dyDescent="0.25">
      <c r="A28" s="127" t="s">
        <v>235</v>
      </c>
      <c r="B28" s="128"/>
      <c r="C28" s="129"/>
      <c r="D28" s="125"/>
      <c r="E28" s="125"/>
      <c r="F28" s="125"/>
      <c r="G28" s="125"/>
      <c r="H28" s="125">
        <f>SUM(H8,H13,H18,H23)</f>
        <v>159</v>
      </c>
    </row>
    <row r="29" spans="1:8" ht="15.75" x14ac:dyDescent="0.25">
      <c r="A29" s="127" t="s">
        <v>236</v>
      </c>
      <c r="B29" s="128"/>
      <c r="C29" s="129"/>
      <c r="D29" s="125"/>
      <c r="E29" s="125"/>
      <c r="F29" s="125"/>
      <c r="G29" s="125"/>
      <c r="H29" s="125">
        <f>SUM(H9,H14,H19,H24)</f>
        <v>3010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2" sqref="A2:H2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238</v>
      </c>
      <c r="B1" s="131"/>
      <c r="C1" s="131"/>
      <c r="D1" s="131"/>
      <c r="E1" s="131"/>
      <c r="F1" s="131"/>
      <c r="G1" s="131"/>
      <c r="H1" s="131"/>
    </row>
    <row r="2" spans="1:8" ht="18.75" x14ac:dyDescent="0.3">
      <c r="A2" s="133" t="s">
        <v>239</v>
      </c>
      <c r="B2" s="133"/>
      <c r="C2" s="133"/>
      <c r="D2" s="133"/>
      <c r="E2" s="133"/>
      <c r="F2" s="133"/>
      <c r="G2" s="133"/>
      <c r="H2" s="133"/>
    </row>
    <row r="3" spans="1:8" ht="26.25" x14ac:dyDescent="0.4">
      <c r="A3" s="132" t="s">
        <v>223</v>
      </c>
      <c r="B3" s="132"/>
      <c r="C3" s="132"/>
      <c r="D3" s="132"/>
      <c r="E3" s="132"/>
      <c r="F3" s="132"/>
      <c r="G3" s="132"/>
      <c r="H3" s="132"/>
    </row>
    <row r="4" spans="1:8" ht="18.75" x14ac:dyDescent="0.3">
      <c r="A4" s="134" t="s">
        <v>226</v>
      </c>
      <c r="B4" s="134"/>
      <c r="C4" s="134"/>
      <c r="D4" s="134"/>
      <c r="E4" s="134"/>
      <c r="F4" s="134"/>
      <c r="G4" s="134"/>
      <c r="H4" s="134"/>
    </row>
    <row r="6" spans="1:8" ht="15.75" x14ac:dyDescent="0.25">
      <c r="A6" s="5" t="s">
        <v>232</v>
      </c>
    </row>
    <row r="7" spans="1:8" ht="15.75" x14ac:dyDescent="0.25">
      <c r="A7" s="6"/>
    </row>
    <row r="8" spans="1:8" ht="15.75" x14ac:dyDescent="0.25">
      <c r="A8" s="7" t="s">
        <v>235</v>
      </c>
      <c r="B8" s="2"/>
      <c r="C8" s="4"/>
      <c r="H8" s="74">
        <f>COUNTIFS(Data!A2:$A$65471,"&gt;=5/7/2016", Data!A2:$A$65471,"&lt;=8/8/2016", Data!D2:$D$65471, "LEE")</f>
        <v>23</v>
      </c>
    </row>
    <row r="9" spans="1:8" ht="15.75" x14ac:dyDescent="0.25">
      <c r="A9" s="7" t="s">
        <v>236</v>
      </c>
      <c r="B9" s="2"/>
      <c r="C9" s="4"/>
      <c r="H9" s="74">
        <f>SUMIFS(Data!H2:$H$65471, Data!A2:$A$65471,"&gt;=5/7/2016", Data!A2:$A$65471,"&lt;=8/8/2016", Data!D2:$D$65471, "LEE")</f>
        <v>372</v>
      </c>
    </row>
    <row r="10" spans="1:8" ht="15.75" x14ac:dyDescent="0.25">
      <c r="A10" s="6"/>
    </row>
    <row r="11" spans="1:8" ht="15.75" x14ac:dyDescent="0.25">
      <c r="A11" s="5" t="s">
        <v>8</v>
      </c>
    </row>
    <row r="12" spans="1:8" ht="15.75" x14ac:dyDescent="0.25">
      <c r="A12" s="6"/>
    </row>
    <row r="13" spans="1:8" ht="15.75" x14ac:dyDescent="0.25">
      <c r="A13" s="7" t="s">
        <v>237</v>
      </c>
      <c r="B13" s="2"/>
      <c r="C13" s="4"/>
      <c r="H13" s="74">
        <f>COUNTIFS(Data!A2:$A$65471,"&gt;=5/7/2016", Data!A2:$A$65471,"&lt;=8/8/2016", Data!D2:$D$65471, "CHARLOTTE")</f>
        <v>10</v>
      </c>
    </row>
    <row r="14" spans="1:8" ht="15.75" x14ac:dyDescent="0.25">
      <c r="A14" s="7" t="s">
        <v>236</v>
      </c>
      <c r="B14" s="2"/>
      <c r="C14" s="4"/>
      <c r="H14" s="74">
        <f>SUMIFS(Data!H2:$H$65471, Data!A2:$A$65471,"&gt;=5/7/2016", Data!A2:$A$65471,"&lt;=8/8/2016", Data!D2:$D$65471, "CHARLOTTE")</f>
        <v>134</v>
      </c>
    </row>
    <row r="15" spans="1:8" ht="15.75" x14ac:dyDescent="0.25">
      <c r="A15" s="6"/>
    </row>
    <row r="16" spans="1:8" ht="15.75" x14ac:dyDescent="0.25">
      <c r="A16" s="5" t="s">
        <v>9</v>
      </c>
    </row>
    <row r="17" spans="1:8" ht="15.75" x14ac:dyDescent="0.25">
      <c r="A17" s="6"/>
    </row>
    <row r="18" spans="1:8" ht="15.75" x14ac:dyDescent="0.25">
      <c r="A18" s="7" t="s">
        <v>237</v>
      </c>
      <c r="B18" s="2"/>
      <c r="C18" s="4"/>
      <c r="H18" s="74">
        <f>COUNTIFS(Data!A2:$A$65471,"&gt;=5/7/2016", Data!A2:$A$65471,"&lt;=8/8/2016", Data!D2:$D$65471, "COLLIER")</f>
        <v>10</v>
      </c>
    </row>
    <row r="19" spans="1:8" ht="15.75" x14ac:dyDescent="0.25">
      <c r="A19" s="7" t="s">
        <v>236</v>
      </c>
      <c r="B19" s="2"/>
      <c r="C19" s="4"/>
      <c r="H19" s="74">
        <f>SUMIFS(Data!H2:$H$65471, Data!A2:$A$65471,"&gt;=5/7/2016", Data!A2:$A$65471,"&lt;=8/8/2016", Data!D2:$D$65471, "COLLIER")</f>
        <v>172</v>
      </c>
    </row>
    <row r="20" spans="1:8" ht="15.75" x14ac:dyDescent="0.25">
      <c r="A20" s="6"/>
    </row>
    <row r="21" spans="1:8" ht="15.75" x14ac:dyDescent="0.25">
      <c r="A21" s="5" t="s">
        <v>10</v>
      </c>
    </row>
    <row r="22" spans="1:8" ht="15.75" x14ac:dyDescent="0.25">
      <c r="A22" s="6"/>
    </row>
    <row r="23" spans="1:8" ht="15.75" x14ac:dyDescent="0.25">
      <c r="A23" s="7" t="s">
        <v>237</v>
      </c>
      <c r="B23" s="2"/>
      <c r="C23" s="4"/>
      <c r="H23" s="74">
        <f>COUNTIFS(Data!A2:$A$65471,"&gt;=5/7/2016", Data!A2:$A$65471,"&lt;=8/8/2016", Data!D2:$D$65471, "HENDRY/GLADES")</f>
        <v>0</v>
      </c>
    </row>
    <row r="24" spans="1:8" ht="15.75" x14ac:dyDescent="0.25">
      <c r="A24" s="7" t="s">
        <v>236</v>
      </c>
      <c r="B24" s="2"/>
      <c r="C24" s="4"/>
      <c r="H24" s="74">
        <f>SUMIFS(Data!H2:$H$65471, Data!A2:$A$65471,"&gt;=5/7/2016", Data!A2:$A$65471,"&lt;=8/8/2016", Data!D2:$D$65471, "HENDRY/GLADES")</f>
        <v>0</v>
      </c>
    </row>
    <row r="26" spans="1:8" ht="15.75" x14ac:dyDescent="0.25">
      <c r="A26" s="124" t="s">
        <v>224</v>
      </c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6"/>
      <c r="B27" s="125"/>
      <c r="C27" s="125"/>
      <c r="D27" s="125"/>
      <c r="E27" s="125"/>
      <c r="F27" s="125"/>
      <c r="G27" s="125"/>
      <c r="H27" s="125"/>
    </row>
    <row r="28" spans="1:8" ht="15.75" x14ac:dyDescent="0.25">
      <c r="A28" s="127" t="s">
        <v>235</v>
      </c>
      <c r="B28" s="128"/>
      <c r="C28" s="129"/>
      <c r="D28" s="125"/>
      <c r="E28" s="125"/>
      <c r="F28" s="125"/>
      <c r="G28" s="125"/>
      <c r="H28" s="125">
        <f>SUM(H8,H13,H18,H23)</f>
        <v>43</v>
      </c>
    </row>
    <row r="29" spans="1:8" ht="15.75" x14ac:dyDescent="0.25">
      <c r="A29" s="127" t="s">
        <v>236</v>
      </c>
      <c r="B29" s="128"/>
      <c r="C29" s="129"/>
      <c r="D29" s="125"/>
      <c r="E29" s="125"/>
      <c r="F29" s="125"/>
      <c r="G29" s="125"/>
      <c r="H29" s="125">
        <f>SUM(H9,H14,H19,H24)</f>
        <v>678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31" sqref="A31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238</v>
      </c>
      <c r="B1" s="131"/>
      <c r="C1" s="131"/>
      <c r="D1" s="131"/>
      <c r="E1" s="131"/>
      <c r="F1" s="131"/>
      <c r="G1" s="131"/>
      <c r="H1" s="131"/>
    </row>
    <row r="2" spans="1:8" ht="18.75" x14ac:dyDescent="0.3">
      <c r="A2" s="133" t="s">
        <v>239</v>
      </c>
      <c r="B2" s="133"/>
      <c r="C2" s="133"/>
      <c r="D2" s="133"/>
      <c r="E2" s="133"/>
      <c r="F2" s="133"/>
      <c r="G2" s="133"/>
      <c r="H2" s="133"/>
    </row>
    <row r="3" spans="1:8" ht="26.25" x14ac:dyDescent="0.4">
      <c r="A3" s="132" t="s">
        <v>234</v>
      </c>
      <c r="B3" s="132"/>
      <c r="C3" s="132"/>
      <c r="D3" s="132"/>
      <c r="E3" s="132"/>
      <c r="F3" s="132"/>
      <c r="G3" s="132"/>
      <c r="H3" s="132"/>
    </row>
    <row r="4" spans="1:8" ht="18.75" x14ac:dyDescent="0.3">
      <c r="A4" s="134" t="s">
        <v>227</v>
      </c>
      <c r="B4" s="134"/>
      <c r="C4" s="134"/>
      <c r="D4" s="134"/>
      <c r="E4" s="134"/>
      <c r="F4" s="134"/>
      <c r="G4" s="134"/>
      <c r="H4" s="134"/>
    </row>
    <row r="6" spans="1:8" ht="15.75" x14ac:dyDescent="0.25">
      <c r="A6" s="5" t="s">
        <v>232</v>
      </c>
    </row>
    <row r="7" spans="1:8" ht="15.75" x14ac:dyDescent="0.25">
      <c r="A7" s="6"/>
    </row>
    <row r="8" spans="1:8" ht="15.75" x14ac:dyDescent="0.25">
      <c r="A8" s="7" t="s">
        <v>235</v>
      </c>
      <c r="B8" s="2"/>
      <c r="C8" s="4"/>
      <c r="H8" s="74">
        <f>COUNTIFS(Data!A2:$A$65471,"&gt;=8/10/2015", Data!A2:$A$65471,"&lt;=8/8/2016", Data!D2:$D$65471, "LEE")</f>
        <v>258</v>
      </c>
    </row>
    <row r="9" spans="1:8" ht="15.75" x14ac:dyDescent="0.25">
      <c r="A9" s="7" t="s">
        <v>236</v>
      </c>
      <c r="B9" s="2"/>
      <c r="C9" s="4"/>
      <c r="H9" s="74">
        <f>SUMIFS(Data!H2:$H$65471, Data!A2:$A$65471,"&gt;=8/10/2015", Data!A2:$A$65471,"&lt;=8/8/2016", Data!D2:$D$65471, "LEE")</f>
        <v>5364</v>
      </c>
    </row>
    <row r="10" spans="1:8" ht="15.75" x14ac:dyDescent="0.25">
      <c r="A10" s="6"/>
    </row>
    <row r="11" spans="1:8" ht="15.75" x14ac:dyDescent="0.25">
      <c r="A11" s="5" t="s">
        <v>8</v>
      </c>
    </row>
    <row r="12" spans="1:8" ht="15.75" x14ac:dyDescent="0.25">
      <c r="A12" s="6"/>
    </row>
    <row r="13" spans="1:8" ht="15.75" x14ac:dyDescent="0.25">
      <c r="A13" s="7" t="s">
        <v>237</v>
      </c>
      <c r="B13" s="2"/>
      <c r="C13" s="4"/>
      <c r="H13" s="74">
        <f>COUNTIFS(Data!A2:$A$65471,"&gt;=8/10/2015", Data!A2:$A$65471,"&lt;=8/8/2016", Data!D2:$D$65471, "CHARLOTTE")</f>
        <v>63</v>
      </c>
    </row>
    <row r="14" spans="1:8" ht="15.75" x14ac:dyDescent="0.25">
      <c r="A14" s="7" t="s">
        <v>236</v>
      </c>
      <c r="B14" s="2"/>
      <c r="C14" s="4"/>
      <c r="H14" s="74">
        <f>SUMIFS(Data!H2:$H$65471, Data!A2:$A$65471,"&gt;=8/10/2015", Data!A2:$A$65471,"&lt;=8/8/2016", Data!D2:$D$65471, "CHARLOTTE")</f>
        <v>943</v>
      </c>
    </row>
    <row r="15" spans="1:8" ht="15.75" x14ac:dyDescent="0.25">
      <c r="A15" s="6"/>
    </row>
    <row r="16" spans="1:8" ht="15.75" x14ac:dyDescent="0.25">
      <c r="A16" s="5" t="s">
        <v>9</v>
      </c>
    </row>
    <row r="17" spans="1:8" ht="15.75" x14ac:dyDescent="0.25">
      <c r="A17" s="6"/>
    </row>
    <row r="18" spans="1:8" ht="15.75" x14ac:dyDescent="0.25">
      <c r="A18" s="7" t="s">
        <v>237</v>
      </c>
      <c r="B18" s="2"/>
      <c r="C18" s="4"/>
      <c r="H18" s="74">
        <f>COUNTIFS(Data!A2:$A$65471,"&gt;=8/10/2015", Data!A2:$A$65471,"&lt;=8/8/2016", Data!D2:$D$65471, "COLLIER")</f>
        <v>81</v>
      </c>
    </row>
    <row r="19" spans="1:8" ht="15.75" x14ac:dyDescent="0.25">
      <c r="A19" s="7" t="s">
        <v>236</v>
      </c>
      <c r="B19" s="2"/>
      <c r="C19" s="4"/>
      <c r="H19" s="74">
        <f>SUMIFS(Data!H2:$H$65471, Data!A2:$A$65471,"&gt;=8/10/2015", Data!A2:$A$65471,"&lt;=8/8/2016", Data!D2:$D$65471, "COLLIER")</f>
        <v>1693</v>
      </c>
    </row>
    <row r="20" spans="1:8" ht="15.75" x14ac:dyDescent="0.25">
      <c r="A20" s="6"/>
    </row>
    <row r="21" spans="1:8" ht="15.75" x14ac:dyDescent="0.25">
      <c r="A21" s="5" t="s">
        <v>10</v>
      </c>
    </row>
    <row r="22" spans="1:8" ht="15.75" x14ac:dyDescent="0.25">
      <c r="A22" s="6"/>
    </row>
    <row r="23" spans="1:8" ht="15.75" x14ac:dyDescent="0.25">
      <c r="A23" s="7" t="s">
        <v>237</v>
      </c>
      <c r="B23" s="2"/>
      <c r="C23" s="4"/>
      <c r="H23" s="74">
        <f>COUNTIFS(Data!A2:$A$65471,"&gt;=8/10/2015", Data!A2:$A$65471,"&lt;=8/8/2016", Data!D2:$D$65471, "HENDRY/GLADES")</f>
        <v>4</v>
      </c>
    </row>
    <row r="24" spans="1:8" ht="15.75" x14ac:dyDescent="0.25">
      <c r="A24" s="7" t="s">
        <v>236</v>
      </c>
      <c r="B24" s="2"/>
      <c r="C24" s="4"/>
      <c r="H24" s="74">
        <f>SUMIFS(Data!H2:$H$65471, Data!A2:$A$65471,"&gt;=8/10/2015", Data!A2:$A$65471,"&lt;=8/8/2016", Data!D2:$D$65471, "HENDRY/GLADES")</f>
        <v>19</v>
      </c>
    </row>
    <row r="26" spans="1:8" ht="15.75" x14ac:dyDescent="0.25">
      <c r="A26" s="124" t="s">
        <v>224</v>
      </c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6"/>
      <c r="B27" s="125"/>
      <c r="C27" s="125"/>
      <c r="D27" s="125"/>
      <c r="E27" s="125"/>
      <c r="F27" s="125"/>
      <c r="G27" s="125"/>
      <c r="H27" s="125"/>
    </row>
    <row r="28" spans="1:8" ht="15.75" x14ac:dyDescent="0.25">
      <c r="A28" s="127" t="s">
        <v>235</v>
      </c>
      <c r="B28" s="128"/>
      <c r="C28" s="129"/>
      <c r="D28" s="125"/>
      <c r="E28" s="125"/>
      <c r="F28" s="125"/>
      <c r="G28" s="125"/>
      <c r="H28" s="125">
        <f>SUM(H8,H13,H18,H23)</f>
        <v>406</v>
      </c>
    </row>
    <row r="29" spans="1:8" ht="15.75" x14ac:dyDescent="0.25">
      <c r="A29" s="127" t="s">
        <v>236</v>
      </c>
      <c r="B29" s="128"/>
      <c r="C29" s="129"/>
      <c r="D29" s="125"/>
      <c r="E29" s="125"/>
      <c r="F29" s="125"/>
      <c r="G29" s="125"/>
      <c r="H29" s="125">
        <f>SUM(H9,H14,H19,H24)</f>
        <v>8019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Data</vt:lpstr>
      <vt:lpstr>Fiscal Year 2015-2016</vt:lpstr>
      <vt:lpstr>Fall 2015</vt:lpstr>
      <vt:lpstr>Spring 2016</vt:lpstr>
      <vt:lpstr>Summer 2016</vt:lpstr>
      <vt:lpstr>Academic Year 2015-2016</vt:lpstr>
      <vt:lpstr>'Academic Year 2015-2016'!Print_Area</vt:lpstr>
      <vt:lpstr>'Fall 2015'!Print_Area</vt:lpstr>
      <vt:lpstr>'Fiscal Year 2015-2016'!Print_Area</vt:lpstr>
      <vt:lpstr>'Spring 2016'!Print_Area</vt:lpstr>
      <vt:lpstr>'Summer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2016-08-26T17:06:34Z</cp:lastPrinted>
  <dcterms:created xsi:type="dcterms:W3CDTF">2013-11-05T15:42:05Z</dcterms:created>
  <dcterms:modified xsi:type="dcterms:W3CDTF">2016-09-08T14:44:17Z</dcterms:modified>
</cp:coreProperties>
</file>