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Research Instruction\"/>
    </mc:Choice>
  </mc:AlternateContent>
  <bookViews>
    <workbookView xWindow="0" yWindow="0" windowWidth="19200" windowHeight="12285" tabRatio="812"/>
  </bookViews>
  <sheets>
    <sheet name="Data" sheetId="1" r:id="rId1"/>
    <sheet name="Fiscal Year 2015-2016" sheetId="19" r:id="rId2"/>
    <sheet name="Fall 2015" sheetId="22" r:id="rId3"/>
    <sheet name="Spring 2016" sheetId="23" r:id="rId4"/>
    <sheet name="Summer 2016" sheetId="25" r:id="rId5"/>
    <sheet name="Academic Year 2015-2016" sheetId="26" r:id="rId6"/>
  </sheets>
  <definedNames>
    <definedName name="_xlnm.Print_Area" localSheetId="5">'Academic Year 2015-2016'!$A$1:$H$28</definedName>
    <definedName name="_xlnm.Print_Area" localSheetId="2">'Fall 2015'!$A$1:$H$28</definedName>
    <definedName name="_xlnm.Print_Area" localSheetId="1">'Fiscal Year 2015-2016'!$A$1:$H$47</definedName>
    <definedName name="_xlnm.Print_Area" localSheetId="3">'Spring 2016'!$A$1:$H$28</definedName>
    <definedName name="_xlnm.Print_Area" localSheetId="4">'Summer 2016'!$A$1:$H$28</definedName>
  </definedNames>
  <calcPr calcId="152511"/>
</workbook>
</file>

<file path=xl/calcChain.xml><?xml version="1.0" encoding="utf-8"?>
<calcChain xmlns="http://schemas.openxmlformats.org/spreadsheetml/2006/main">
  <c r="H23" i="22" l="1"/>
  <c r="H22" i="22"/>
  <c r="H18" i="22"/>
  <c r="H17" i="22"/>
  <c r="H13" i="22"/>
  <c r="H12" i="22"/>
  <c r="H8" i="22"/>
  <c r="H7" i="22"/>
  <c r="U22" i="19" l="1"/>
  <c r="T22" i="19"/>
  <c r="S22" i="19"/>
  <c r="R22" i="19"/>
  <c r="Q22" i="19"/>
  <c r="P22" i="19"/>
  <c r="O22" i="19"/>
  <c r="N22" i="19"/>
  <c r="M22" i="19"/>
  <c r="L22" i="19"/>
  <c r="K22" i="19"/>
  <c r="J22" i="19"/>
  <c r="J7" i="19"/>
  <c r="J17" i="19"/>
  <c r="U17" i="19"/>
  <c r="T17" i="19"/>
  <c r="S17" i="19"/>
  <c r="R17" i="19"/>
  <c r="Q17" i="19"/>
  <c r="P17" i="19"/>
  <c r="O17" i="19"/>
  <c r="N17" i="19"/>
  <c r="M17" i="19"/>
  <c r="L17" i="19"/>
  <c r="K17" i="19"/>
  <c r="J12" i="19"/>
  <c r="U12" i="19"/>
  <c r="T12" i="19"/>
  <c r="S12" i="19"/>
  <c r="R12" i="19"/>
  <c r="Q12" i="19"/>
  <c r="P12" i="19"/>
  <c r="O12" i="19"/>
  <c r="N12" i="19"/>
  <c r="M12" i="19"/>
  <c r="L12" i="19"/>
  <c r="K12" i="19"/>
  <c r="U7" i="19"/>
  <c r="T7" i="19"/>
  <c r="S7" i="19"/>
  <c r="R7" i="19"/>
  <c r="Q7" i="19"/>
  <c r="P7" i="19"/>
  <c r="O7" i="19"/>
  <c r="N7" i="19"/>
  <c r="M7" i="19"/>
  <c r="L7" i="19"/>
  <c r="K7" i="19"/>
  <c r="H7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H21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J6" i="19"/>
  <c r="U6" i="19"/>
  <c r="T6" i="19"/>
  <c r="S6" i="19"/>
  <c r="R6" i="19"/>
  <c r="Q6" i="19"/>
  <c r="P6" i="19"/>
  <c r="O6" i="19"/>
  <c r="N6" i="19"/>
  <c r="M6" i="19"/>
  <c r="L6" i="19"/>
  <c r="K6" i="19"/>
  <c r="H6" i="19"/>
  <c r="H13" i="26" l="1"/>
  <c r="H23" i="26"/>
  <c r="H22" i="26"/>
  <c r="H18" i="26"/>
  <c r="H17" i="26"/>
  <c r="H12" i="26"/>
  <c r="H8" i="26"/>
  <c r="H7" i="26"/>
  <c r="H28" i="22"/>
  <c r="H27" i="22"/>
  <c r="H28" i="23"/>
  <c r="H27" i="23"/>
  <c r="H28" i="25"/>
  <c r="H27" i="25"/>
  <c r="H23" i="25"/>
  <c r="H22" i="25"/>
  <c r="H18" i="25"/>
  <c r="H17" i="25"/>
  <c r="H13" i="25"/>
  <c r="H12" i="25"/>
  <c r="H8" i="25"/>
  <c r="H7" i="25"/>
  <c r="H23" i="23"/>
  <c r="H22" i="23"/>
  <c r="H18" i="23"/>
  <c r="H17" i="23"/>
  <c r="H13" i="23"/>
  <c r="H12" i="23"/>
  <c r="H8" i="23"/>
  <c r="H7" i="23"/>
  <c r="H28" i="26" l="1"/>
  <c r="H27" i="26"/>
  <c r="H22" i="19" l="1"/>
  <c r="H17" i="19"/>
  <c r="H16" i="19"/>
  <c r="H12" i="19"/>
  <c r="H11" i="19"/>
</calcChain>
</file>

<file path=xl/sharedStrings.xml><?xml version="1.0" encoding="utf-8"?>
<sst xmlns="http://schemas.openxmlformats.org/spreadsheetml/2006/main" count="2142" uniqueCount="247">
  <si>
    <t>DATE</t>
  </si>
  <si>
    <t>TIME</t>
  </si>
  <si>
    <t>LIBRARIAN</t>
  </si>
  <si>
    <t>LOCATION</t>
  </si>
  <si>
    <t>SUBJECT</t>
  </si>
  <si>
    <t>INSTRUCTOR</t>
  </si>
  <si>
    <t># of Students</t>
  </si>
  <si>
    <t>CAMPUS</t>
  </si>
  <si>
    <t>Summary of Research Instruction</t>
  </si>
  <si>
    <t>Charlotte Campus</t>
  </si>
  <si>
    <t>Collier Campus</t>
  </si>
  <si>
    <t>Hendry/Glades Center</t>
  </si>
  <si>
    <t>William Shuluk</t>
  </si>
  <si>
    <t>Lee</t>
  </si>
  <si>
    <t>J-206</t>
  </si>
  <si>
    <t>SYG1000</t>
  </si>
  <si>
    <t>Sallee</t>
  </si>
  <si>
    <t>Jane Charles</t>
  </si>
  <si>
    <t>PSY2012</t>
  </si>
  <si>
    <t>Freudenthal</t>
  </si>
  <si>
    <t>Cindy Campbell</t>
  </si>
  <si>
    <t>Furler</t>
  </si>
  <si>
    <t>MCB2010C</t>
  </si>
  <si>
    <t>Introduction to Library Services</t>
  </si>
  <si>
    <t>Timothy Bishop</t>
  </si>
  <si>
    <t>Cornerstone - Truthseeking and the Library</t>
  </si>
  <si>
    <t>Frank Dowd</t>
  </si>
  <si>
    <t>ENC1101</t>
  </si>
  <si>
    <t>Joy</t>
  </si>
  <si>
    <t>SLS1515</t>
  </si>
  <si>
    <t>Miley</t>
  </si>
  <si>
    <t>Arenthia Herren</t>
  </si>
  <si>
    <t>Pilarski</t>
  </si>
  <si>
    <t>Mary Ann Walton</t>
  </si>
  <si>
    <t>Charlotte</t>
  </si>
  <si>
    <t>O-116</t>
  </si>
  <si>
    <t>Anthony Valenti</t>
  </si>
  <si>
    <t>G-105</t>
  </si>
  <si>
    <t>Metcalf</t>
  </si>
  <si>
    <t>J-127</t>
  </si>
  <si>
    <t>Forsythe</t>
  </si>
  <si>
    <t>G-106</t>
  </si>
  <si>
    <t>Teneyck</t>
  </si>
  <si>
    <t>J-119</t>
  </si>
  <si>
    <t>Collier</t>
  </si>
  <si>
    <t>Dental Hygiene</t>
  </si>
  <si>
    <t>Molumby</t>
  </si>
  <si>
    <t>Student Athletes</t>
  </si>
  <si>
    <t>Adams</t>
  </si>
  <si>
    <t>AA-168</t>
  </si>
  <si>
    <t>Greenfield</t>
  </si>
  <si>
    <t>POS2041</t>
  </si>
  <si>
    <t>DeMoran</t>
  </si>
  <si>
    <t>B-122</t>
  </si>
  <si>
    <t>D-101</t>
  </si>
  <si>
    <t>Mattoni</t>
  </si>
  <si>
    <t>Cantlon</t>
  </si>
  <si>
    <t>ENC1102</t>
  </si>
  <si>
    <t>Horn</t>
  </si>
  <si>
    <t>McLouth</t>
  </si>
  <si>
    <t>Fahey</t>
  </si>
  <si>
    <t>CCJ1020</t>
  </si>
  <si>
    <t>Phillips</t>
  </si>
  <si>
    <t>Lanute</t>
  </si>
  <si>
    <t>HUM2235</t>
  </si>
  <si>
    <t>Sazonov</t>
  </si>
  <si>
    <t>Swafford</t>
  </si>
  <si>
    <t>WOH1012</t>
  </si>
  <si>
    <t>Sanders</t>
  </si>
  <si>
    <t>Conwell</t>
  </si>
  <si>
    <t>Lewis</t>
  </si>
  <si>
    <t>EDG4004</t>
  </si>
  <si>
    <t>Propper</t>
  </si>
  <si>
    <t>N-106</t>
  </si>
  <si>
    <t>Bynoe</t>
  </si>
  <si>
    <t>Veloz</t>
  </si>
  <si>
    <t>HUM2211</t>
  </si>
  <si>
    <t>Hoover</t>
  </si>
  <si>
    <t>BUL2241</t>
  </si>
  <si>
    <t>SPC1017</t>
  </si>
  <si>
    <t>B-114</t>
  </si>
  <si>
    <t>A-114</t>
  </si>
  <si>
    <t>Sprague</t>
  </si>
  <si>
    <t>Calabrese</t>
  </si>
  <si>
    <t>Ginger Stepp</t>
  </si>
  <si>
    <t>E119</t>
  </si>
  <si>
    <t>EDF2005</t>
  </si>
  <si>
    <t>Gelfand</t>
  </si>
  <si>
    <t>E120</t>
  </si>
  <si>
    <t>Batchelder</t>
  </si>
  <si>
    <t>G108</t>
  </si>
  <si>
    <t>BSC1010</t>
  </si>
  <si>
    <t>Poulakis</t>
  </si>
  <si>
    <t>Roark</t>
  </si>
  <si>
    <t>SPC2608</t>
  </si>
  <si>
    <t>East-Phanor</t>
  </si>
  <si>
    <t>Ewald</t>
  </si>
  <si>
    <t>Kroeker</t>
  </si>
  <si>
    <t>CHD1220</t>
  </si>
  <si>
    <t>Rhyne</t>
  </si>
  <si>
    <t>Vaughan</t>
  </si>
  <si>
    <t>RED4012</t>
  </si>
  <si>
    <t>Seefchak</t>
  </si>
  <si>
    <t>WOH1030</t>
  </si>
  <si>
    <t>Chance</t>
  </si>
  <si>
    <t>Cheney</t>
  </si>
  <si>
    <t>ENC1101 - Truthseeking</t>
  </si>
  <si>
    <t>Reinke</t>
  </si>
  <si>
    <t>Myers</t>
  </si>
  <si>
    <t>EME2040</t>
  </si>
  <si>
    <t>ENC0022</t>
  </si>
  <si>
    <t>L-108</t>
  </si>
  <si>
    <t>WestLaw</t>
  </si>
  <si>
    <t>P-102</t>
  </si>
  <si>
    <t>DEP2004</t>
  </si>
  <si>
    <t>Ortolano</t>
  </si>
  <si>
    <t>LAE4464</t>
  </si>
  <si>
    <t>Angstrom</t>
  </si>
  <si>
    <t>Dustin</t>
  </si>
  <si>
    <t>K-121</t>
  </si>
  <si>
    <t>A-118</t>
  </si>
  <si>
    <t>Hendry/Glades</t>
  </si>
  <si>
    <t>Leslie</t>
  </si>
  <si>
    <t>Van Selow</t>
  </si>
  <si>
    <t>Day</t>
  </si>
  <si>
    <t>Houck</t>
  </si>
  <si>
    <t>Baumeister</t>
  </si>
  <si>
    <t>E-122</t>
  </si>
  <si>
    <t>D-206</t>
  </si>
  <si>
    <t>D-103</t>
  </si>
  <si>
    <t>D-109</t>
  </si>
  <si>
    <t>Anthony P. Valenti</t>
  </si>
  <si>
    <t>A-112</t>
  </si>
  <si>
    <t>Noyes</t>
  </si>
  <si>
    <t>E-201</t>
  </si>
  <si>
    <t>E-103</t>
  </si>
  <si>
    <t>Miller</t>
  </si>
  <si>
    <t>A-113</t>
  </si>
  <si>
    <t>Paschall</t>
  </si>
  <si>
    <t>E-203</t>
  </si>
  <si>
    <t>Mompoint</t>
  </si>
  <si>
    <t>J-103</t>
  </si>
  <si>
    <t>Kirschner</t>
  </si>
  <si>
    <t>HUM2020</t>
  </si>
  <si>
    <t>FIN2100</t>
  </si>
  <si>
    <t>Mendell</t>
  </si>
  <si>
    <t>DeLuca</t>
  </si>
  <si>
    <t>Quimby</t>
  </si>
  <si>
    <t>Campbell</t>
  </si>
  <si>
    <t>Luciano</t>
  </si>
  <si>
    <t>AML2010</t>
  </si>
  <si>
    <t>Scaruffi-Klispie</t>
  </si>
  <si>
    <t>Pelot</t>
  </si>
  <si>
    <t>Rath</t>
  </si>
  <si>
    <t>Jeanette Burke</t>
  </si>
  <si>
    <t>TenEyck</t>
  </si>
  <si>
    <t>Gillespie</t>
  </si>
  <si>
    <t>PAD4878</t>
  </si>
  <si>
    <t>Worch</t>
  </si>
  <si>
    <t>K-211</t>
  </si>
  <si>
    <t>ACG2021</t>
  </si>
  <si>
    <t>VanGlabek</t>
  </si>
  <si>
    <t>Kaye</t>
  </si>
  <si>
    <t>HUN1201</t>
  </si>
  <si>
    <t>Bradway</t>
  </si>
  <si>
    <t>CCJ1010</t>
  </si>
  <si>
    <t>Hummel</t>
  </si>
  <si>
    <t>CJE1300</t>
  </si>
  <si>
    <t>N-202</t>
  </si>
  <si>
    <t>PLA2800</t>
  </si>
  <si>
    <t>Harris</t>
  </si>
  <si>
    <t>PLA1103</t>
  </si>
  <si>
    <t>Harrell</t>
  </si>
  <si>
    <t>D-106</t>
  </si>
  <si>
    <t>Introduction to Library Services - Education Program</t>
  </si>
  <si>
    <t>Kane</t>
  </si>
  <si>
    <t>ENC1102 - Truthseeking</t>
  </si>
  <si>
    <t>AA-172</t>
  </si>
  <si>
    <t>Tawil</t>
  </si>
  <si>
    <t>L-105</t>
  </si>
  <si>
    <t>PSY2014</t>
  </si>
  <si>
    <t>SPC2608 - Truthseeking</t>
  </si>
  <si>
    <t>Walters</t>
  </si>
  <si>
    <t>U-205</t>
  </si>
  <si>
    <t>McKenzie</t>
  </si>
  <si>
    <t>MAR2011</t>
  </si>
  <si>
    <t>K-137</t>
  </si>
  <si>
    <t>L-140</t>
  </si>
  <si>
    <t>Orobello</t>
  </si>
  <si>
    <t>A-105</t>
  </si>
  <si>
    <t>SLS1107</t>
  </si>
  <si>
    <t>Seado-Vasquez</t>
  </si>
  <si>
    <t>J-120</t>
  </si>
  <si>
    <t>Robinson</t>
  </si>
  <si>
    <t>Cassidy</t>
  </si>
  <si>
    <t>Bucks</t>
  </si>
  <si>
    <t>FSW Collegiate High School</t>
  </si>
  <si>
    <t>N-214</t>
  </si>
  <si>
    <t>FYE</t>
  </si>
  <si>
    <t>ENC1102 - Follow-up</t>
  </si>
  <si>
    <t>E-218</t>
  </si>
  <si>
    <t>Ward</t>
  </si>
  <si>
    <t>LIT2000</t>
  </si>
  <si>
    <t>J-125</t>
  </si>
  <si>
    <t>B-115</t>
  </si>
  <si>
    <t>G-108</t>
  </si>
  <si>
    <t>D-104</t>
  </si>
  <si>
    <t>Fernandez</t>
  </si>
  <si>
    <t>WOH1023</t>
  </si>
  <si>
    <t>Geezar nee Collett</t>
  </si>
  <si>
    <t>VanSelow</t>
  </si>
  <si>
    <t>Goodlet</t>
  </si>
  <si>
    <t>MAN2021</t>
  </si>
  <si>
    <t>Patterson</t>
  </si>
  <si>
    <t>Holley</t>
  </si>
  <si>
    <t>Charles</t>
  </si>
  <si>
    <t>A-103</t>
  </si>
  <si>
    <t>SLS1515 - Career Research</t>
  </si>
  <si>
    <t>Harvey</t>
  </si>
  <si>
    <t>P-101</t>
  </si>
  <si>
    <t>A-111</t>
  </si>
  <si>
    <t>Maria van Boekel</t>
  </si>
  <si>
    <t>ENC1102 - Technical Writing</t>
  </si>
  <si>
    <t>Fall 2015</t>
  </si>
  <si>
    <t>Summer 2016</t>
  </si>
  <si>
    <t>Division Totals</t>
  </si>
  <si>
    <t>(January 4 - May 6, 2016)</t>
  </si>
  <si>
    <t>(May 7 - August 8, 2016)</t>
  </si>
  <si>
    <t>(August 10, 2015 - August 8, 2016)</t>
  </si>
  <si>
    <t>Total Number of Classes this Fiscal Year</t>
  </si>
  <si>
    <t>Total Number of Students this Fiscal Year</t>
  </si>
  <si>
    <t>Total Number of Classes this Fiscal Year</t>
  </si>
  <si>
    <t>Total Number of Classes this Fall Semester</t>
  </si>
  <si>
    <t>Fiscal Year 2015-2016</t>
  </si>
  <si>
    <t>Total Number of Students this Fall Semester</t>
  </si>
  <si>
    <t>Total Number of Students this Spring Semester</t>
  </si>
  <si>
    <t>Total Number of Classes this Spring Semester</t>
  </si>
  <si>
    <t>Total Number of Classes this Spring Semester</t>
  </si>
  <si>
    <t>Total Number of Classes this Summer Semester</t>
  </si>
  <si>
    <t>Total Number of Students this Summer Semester</t>
  </si>
  <si>
    <t>Total Number of Classes this Summer Semester</t>
  </si>
  <si>
    <t>Total Number of Classes this Academic Year and Summer</t>
  </si>
  <si>
    <t>Total Number of Students this Academic Year and Summer</t>
  </si>
  <si>
    <t>Total Number of Classes this Academic Year and Summer</t>
  </si>
  <si>
    <t>Thomas Edison (Lee) Campus</t>
  </si>
  <si>
    <t>(August 10 - December 18, 2015)</t>
  </si>
  <si>
    <t>Fall 2015, Spring 2016, &amp; Summer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</si>
</sst>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282828"/>
      <name val="Calibri"/>
      <family val="2"/>
    </font>
    <font>
      <sz val="11"/>
      <color rgb="FF282828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1"/>
      <scheme val="minor"/>
    </font>
    <font>
      <sz val="11"/>
      <name val="Segoe UI"/>
      <family val="2"/>
    </font>
    <font>
      <sz val="11"/>
      <color rgb="FF212121"/>
      <name val="Segoe U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/>
    <xf numFmtId="164" fontId="0" fillId="0" borderId="0" xfId="0" applyNumberFormat="1"/>
    <xf numFmtId="14" fontId="9" fillId="0" borderId="0" xfId="0" applyNumberFormat="1" applyFont="1" applyAlignment="1">
      <alignment horizontal="right" vertical="center"/>
    </xf>
    <xf numFmtId="1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49" fontId="6" fillId="0" borderId="0" xfId="0" applyNumberFormat="1" applyFont="1" applyAlignment="1"/>
    <xf numFmtId="0" fontId="0" fillId="0" borderId="0" xfId="0" applyAlignment="1"/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right" vertical="center"/>
    </xf>
    <xf numFmtId="0" fontId="10" fillId="0" borderId="0" xfId="0" applyFont="1" applyFill="1"/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ill="1"/>
    <xf numFmtId="0" fontId="0" fillId="0" borderId="0" xfId="0"/>
    <xf numFmtId="18" fontId="0" fillId="0" borderId="0" xfId="0" applyNumberFormat="1" applyFont="1"/>
    <xf numFmtId="0" fontId="0" fillId="0" borderId="0" xfId="0" applyFont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164" fontId="0" fillId="0" borderId="0" xfId="0" applyNumberFormat="1" applyFont="1" applyFill="1"/>
    <xf numFmtId="0" fontId="13" fillId="0" borderId="0" xfId="0" applyFont="1" applyFill="1"/>
    <xf numFmtId="0" fontId="9" fillId="0" borderId="0" xfId="0" applyFont="1" applyFill="1" applyAlignment="1">
      <alignment vertical="center"/>
    </xf>
    <xf numFmtId="18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4" fontId="9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8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4" fontId="14" fillId="0" borderId="0" xfId="0" applyNumberFormat="1" applyFont="1" applyFill="1"/>
    <xf numFmtId="18" fontId="9" fillId="0" borderId="0" xfId="0" applyNumberFormat="1" applyFont="1" applyFill="1" applyAlignment="1">
      <alignment vertical="center"/>
    </xf>
    <xf numFmtId="14" fontId="0" fillId="0" borderId="0" xfId="0" applyNumberFormat="1" applyFont="1"/>
    <xf numFmtId="164" fontId="0" fillId="0" borderId="0" xfId="0" applyNumberFormat="1" applyFont="1"/>
    <xf numFmtId="0" fontId="1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9" fillId="0" borderId="0" xfId="0" applyFont="1" applyAlignment="1">
      <alignment horizontal="right" vertical="center"/>
    </xf>
    <xf numFmtId="18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vertical="center"/>
    </xf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18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64" fontId="0" fillId="0" borderId="0" xfId="0" applyNumberFormat="1" applyFill="1"/>
    <xf numFmtId="0" fontId="0" fillId="0" borderId="0" xfId="0" applyFill="1" applyAlignment="1">
      <alignment horizontal="left"/>
    </xf>
    <xf numFmtId="0" fontId="15" fillId="0" borderId="0" xfId="0" applyFont="1" applyFill="1" applyAlignment="1">
      <alignment vertical="center"/>
    </xf>
    <xf numFmtId="18" fontId="15" fillId="0" borderId="0" xfId="0" applyNumberFormat="1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14" fontId="0" fillId="0" borderId="0" xfId="0" applyNumberFormat="1" applyFill="1"/>
    <xf numFmtId="20" fontId="0" fillId="0" borderId="0" xfId="0" applyNumberFormat="1"/>
    <xf numFmtId="20" fontId="0" fillId="0" borderId="0" xfId="0" applyNumberFormat="1" applyFont="1" applyFill="1"/>
    <xf numFmtId="0" fontId="9" fillId="0" borderId="0" xfId="0" applyFont="1" applyFill="1" applyAlignment="1">
      <alignment vertical="top"/>
    </xf>
    <xf numFmtId="14" fontId="2" fillId="0" borderId="0" xfId="0" applyNumberFormat="1" applyFont="1" applyAlignment="1">
      <alignment horizontal="right" vertical="center"/>
    </xf>
    <xf numFmtId="1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0" borderId="0" xfId="0" applyFont="1"/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2" borderId="0" xfId="0" applyFill="1"/>
    <xf numFmtId="0" fontId="11" fillId="2" borderId="0" xfId="0" applyFont="1" applyFill="1"/>
    <xf numFmtId="18" fontId="0" fillId="0" borderId="0" xfId="0" applyNumberFormat="1" applyFill="1"/>
    <xf numFmtId="14" fontId="2" fillId="0" borderId="0" xfId="0" applyNumberFormat="1" applyFont="1" applyFill="1" applyAlignment="1">
      <alignment horizontal="right" vertical="center"/>
    </xf>
    <xf numFmtId="18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NumberFormat="1"/>
    <xf numFmtId="0" fontId="9" fillId="0" borderId="0" xfId="0" applyFont="1" applyFill="1" applyAlignment="1">
      <alignment horizontal="right"/>
    </xf>
    <xf numFmtId="49" fontId="9" fillId="0" borderId="0" xfId="0" applyNumberFormat="1" applyFont="1" applyAlignment="1">
      <alignment vertical="center"/>
    </xf>
    <xf numFmtId="18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4" fontId="9" fillId="0" borderId="0" xfId="0" applyNumberFormat="1" applyFont="1" applyAlignment="1">
      <alignment vertical="center"/>
    </xf>
    <xf numFmtId="14" fontId="0" fillId="0" borderId="0" xfId="0" applyNumberFormat="1" applyAlignment="1"/>
    <xf numFmtId="14" fontId="0" fillId="0" borderId="0" xfId="0" applyNumberFormat="1" applyFont="1" applyAlignment="1"/>
    <xf numFmtId="0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18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18" fontId="0" fillId="0" borderId="0" xfId="0" applyNumberFormat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20" fontId="0" fillId="0" borderId="0" xfId="0" applyNumberFormat="1" applyFill="1"/>
    <xf numFmtId="14" fontId="15" fillId="0" borderId="0" xfId="0" applyNumberFormat="1" applyFont="1" applyFill="1"/>
    <xf numFmtId="164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14" fontId="15" fillId="0" borderId="0" xfId="0" applyNumberFormat="1" applyFont="1" applyFill="1" applyAlignment="1">
      <alignment horizontal="right" vertical="center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14" fontId="16" fillId="0" borderId="0" xfId="0" applyNumberFormat="1" applyFont="1" applyFill="1" applyAlignment="1">
      <alignment horizontal="right" vertical="center"/>
    </xf>
    <xf numFmtId="18" fontId="16" fillId="0" borderId="0" xfId="0" applyNumberFormat="1" applyFont="1" applyFill="1" applyAlignment="1">
      <alignment horizontal="right" vertical="center"/>
    </xf>
    <xf numFmtId="0" fontId="18" fillId="0" borderId="0" xfId="0" applyFont="1" applyFill="1"/>
    <xf numFmtId="0" fontId="15" fillId="0" borderId="0" xfId="0" applyFont="1" applyAlignment="1">
      <alignment vertical="center"/>
    </xf>
    <xf numFmtId="0" fontId="19" fillId="0" borderId="0" xfId="0" applyFont="1" applyFill="1"/>
    <xf numFmtId="14" fontId="1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7" fillId="3" borderId="0" xfId="0" applyFont="1" applyFill="1"/>
    <xf numFmtId="0" fontId="0" fillId="3" borderId="0" xfId="0" applyFill="1"/>
    <xf numFmtId="0" fontId="5" fillId="3" borderId="0" xfId="0" applyFont="1" applyFill="1"/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17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Research Instruction Students</a:t>
            </a:r>
            <a:br>
              <a:rPr lang="en-US"/>
            </a:br>
            <a:r>
              <a:rPr lang="en-US"/>
              <a:t>FY 2015-16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Classes</c:v>
          </c:tx>
          <c:invertIfNegative val="0"/>
          <c:dLbls>
            <c:dLbl>
              <c:idx val="3"/>
              <c:layout>
                <c:manualLayout>
                  <c:x val="5.2250584918555741E-2"/>
                  <c:y val="2.3432033048953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('Fiscal Year 2015-2016'!$A$4,'Fiscal Year 2015-2016'!$A$9,'Fiscal Year 2015-2016'!$A$14,'Fiscal Year 2015-2016'!$A$19)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2015-2016'!$H$6,'Fiscal Year 2015-2016'!$H$11,'Fiscal Year 2015-2016'!$H$16,'Fiscal Year 2015-2016'!$H$21)</c:f>
              <c:numCache>
                <c:formatCode>General</c:formatCode>
                <c:ptCount val="4"/>
                <c:pt idx="0">
                  <c:v>257</c:v>
                </c:pt>
                <c:pt idx="1">
                  <c:v>61</c:v>
                </c:pt>
                <c:pt idx="2">
                  <c:v>86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906080"/>
        <c:axId val="299906640"/>
      </c:barChart>
      <c:lineChart>
        <c:grouping val="standard"/>
        <c:varyColors val="0"/>
        <c:ser>
          <c:idx val="1"/>
          <c:order val="1"/>
          <c:tx>
            <c:v>Students</c:v>
          </c:tx>
          <c:marker>
            <c:symbol val="none"/>
          </c:marker>
          <c:dLbls>
            <c:dLbl>
              <c:idx val="1"/>
              <c:layout>
                <c:manualLayout>
                  <c:x val="-1.90297453117237E-2"/>
                  <c:y val="-4.368263434681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('Fiscal Year 2015-2016'!$A$4,'Fiscal Year 2015-2016'!$A$9,'Fiscal Year 2015-2016'!$A$14,'Fiscal Year 2015-2016'!$A$19)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2015-2016'!$H$7,'Fiscal Year 2015-2016'!$H$12,'Fiscal Year 2015-2016'!$H$17,'Fiscal Year 2015-2016'!$H$22)</c:f>
              <c:numCache>
                <c:formatCode>General</c:formatCode>
                <c:ptCount val="4"/>
                <c:pt idx="0">
                  <c:v>5282</c:v>
                </c:pt>
                <c:pt idx="1">
                  <c:v>886</c:v>
                </c:pt>
                <c:pt idx="2">
                  <c:v>1728</c:v>
                </c:pt>
                <c:pt idx="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41440"/>
        <c:axId val="299907200"/>
      </c:lineChart>
      <c:catAx>
        <c:axId val="299906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9906640"/>
        <c:crosses val="autoZero"/>
        <c:auto val="1"/>
        <c:lblAlgn val="ctr"/>
        <c:lblOffset val="100"/>
        <c:noMultiLvlLbl val="0"/>
      </c:catAx>
      <c:valAx>
        <c:axId val="299906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9906080"/>
        <c:crosses val="autoZero"/>
        <c:crossBetween val="between"/>
      </c:valAx>
      <c:valAx>
        <c:axId val="2999072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1341440"/>
        <c:crosses val="max"/>
        <c:crossBetween val="between"/>
      </c:valAx>
      <c:catAx>
        <c:axId val="30134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990720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22</xdr:row>
      <xdr:rowOff>114301</xdr:rowOff>
    </xdr:from>
    <xdr:to>
      <xdr:col>7</xdr:col>
      <xdr:colOff>590550</xdr:colOff>
      <xdr:row>46</xdr:row>
      <xdr:rowOff>133351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11.85546875" bestFit="1" customWidth="1"/>
    <col min="2" max="2" width="11.85546875" style="9" bestFit="1" customWidth="1"/>
    <col min="3" max="3" width="32" bestFit="1" customWidth="1"/>
    <col min="4" max="4" width="14.42578125" bestFit="1" customWidth="1"/>
    <col min="5" max="5" width="10.140625" bestFit="1" customWidth="1"/>
    <col min="6" max="6" width="39.7109375" bestFit="1" customWidth="1"/>
    <col min="7" max="7" width="17.5703125" style="14" bestFit="1" customWidth="1"/>
    <col min="8" max="8" width="12.5703125" style="17" bestFit="1" customWidth="1"/>
  </cols>
  <sheetData>
    <row r="1" spans="1:11" x14ac:dyDescent="0.25">
      <c r="A1" s="30" t="s">
        <v>0</v>
      </c>
      <c r="B1" s="31" t="s">
        <v>1</v>
      </c>
      <c r="C1" s="30" t="s">
        <v>2</v>
      </c>
      <c r="D1" s="30" t="s">
        <v>7</v>
      </c>
      <c r="E1" s="30" t="s">
        <v>3</v>
      </c>
      <c r="F1" s="30" t="s">
        <v>4</v>
      </c>
      <c r="G1" s="32" t="s">
        <v>5</v>
      </c>
      <c r="H1" s="33" t="s">
        <v>6</v>
      </c>
    </row>
    <row r="2" spans="1:11" s="25" customFormat="1" x14ac:dyDescent="0.25">
      <c r="A2" s="107">
        <v>42186</v>
      </c>
      <c r="B2" s="108">
        <v>0.4375</v>
      </c>
      <c r="C2" s="109" t="s">
        <v>12</v>
      </c>
      <c r="D2" s="62" t="s">
        <v>13</v>
      </c>
      <c r="E2" s="109" t="s">
        <v>14</v>
      </c>
      <c r="F2" s="63" t="s">
        <v>15</v>
      </c>
      <c r="G2" s="110" t="s">
        <v>16</v>
      </c>
      <c r="H2" s="111">
        <v>17</v>
      </c>
      <c r="I2" s="74"/>
      <c r="J2" s="74"/>
      <c r="K2" s="74"/>
    </row>
    <row r="3" spans="1:11" s="25" customFormat="1" x14ac:dyDescent="0.25">
      <c r="A3" s="112">
        <v>42192</v>
      </c>
      <c r="B3" s="113">
        <v>0.73958333333333337</v>
      </c>
      <c r="C3" s="62" t="s">
        <v>17</v>
      </c>
      <c r="D3" s="62" t="s">
        <v>13</v>
      </c>
      <c r="E3" s="109" t="s">
        <v>219</v>
      </c>
      <c r="F3" s="62" t="s">
        <v>18</v>
      </c>
      <c r="G3" s="114" t="s">
        <v>19</v>
      </c>
      <c r="H3" s="62">
        <v>12</v>
      </c>
      <c r="I3" s="74"/>
      <c r="J3" s="74"/>
      <c r="K3" s="74"/>
    </row>
    <row r="4" spans="1:11" s="25" customFormat="1" x14ac:dyDescent="0.25">
      <c r="A4" s="107">
        <v>42193</v>
      </c>
      <c r="B4" s="108">
        <v>0.54166666666666663</v>
      </c>
      <c r="C4" s="109" t="s">
        <v>33</v>
      </c>
      <c r="D4" s="62" t="s">
        <v>34</v>
      </c>
      <c r="E4" s="109" t="s">
        <v>35</v>
      </c>
      <c r="F4" s="63" t="s">
        <v>25</v>
      </c>
      <c r="G4" s="110"/>
      <c r="H4" s="111">
        <v>2</v>
      </c>
      <c r="I4" s="74"/>
      <c r="J4" s="74"/>
      <c r="K4" s="74"/>
    </row>
    <row r="5" spans="1:11" x14ac:dyDescent="0.25">
      <c r="A5" s="107">
        <v>42194</v>
      </c>
      <c r="B5" s="108">
        <v>0.69791666666666663</v>
      </c>
      <c r="C5" s="109" t="s">
        <v>20</v>
      </c>
      <c r="D5" s="62" t="s">
        <v>13</v>
      </c>
      <c r="E5" s="109" t="s">
        <v>14</v>
      </c>
      <c r="F5" s="63" t="s">
        <v>22</v>
      </c>
      <c r="G5" s="110" t="s">
        <v>21</v>
      </c>
      <c r="H5" s="111">
        <v>23</v>
      </c>
      <c r="I5" s="74"/>
      <c r="J5" s="74"/>
      <c r="K5" s="74"/>
    </row>
    <row r="6" spans="1:11" x14ac:dyDescent="0.25">
      <c r="A6" s="115">
        <v>42198</v>
      </c>
      <c r="B6" s="116">
        <v>0.45833333333333331</v>
      </c>
      <c r="C6" s="64" t="s">
        <v>36</v>
      </c>
      <c r="D6" s="109" t="s">
        <v>44</v>
      </c>
      <c r="E6" s="64" t="s">
        <v>37</v>
      </c>
      <c r="F6" s="64" t="s">
        <v>27</v>
      </c>
      <c r="G6" s="64" t="s">
        <v>38</v>
      </c>
      <c r="H6" s="65">
        <v>25</v>
      </c>
      <c r="I6" s="22"/>
      <c r="J6" s="22"/>
    </row>
    <row r="7" spans="1:11" ht="16.5" x14ac:dyDescent="0.3">
      <c r="A7" s="115">
        <v>42199</v>
      </c>
      <c r="B7" s="116">
        <v>0.5</v>
      </c>
      <c r="C7" s="64" t="s">
        <v>36</v>
      </c>
      <c r="D7" s="62" t="s">
        <v>44</v>
      </c>
      <c r="E7" s="64" t="s">
        <v>220</v>
      </c>
      <c r="F7" s="64" t="s">
        <v>23</v>
      </c>
      <c r="G7" s="117"/>
      <c r="H7" s="65">
        <v>5</v>
      </c>
      <c r="I7" s="22"/>
      <c r="J7" s="22"/>
    </row>
    <row r="8" spans="1:11" x14ac:dyDescent="0.25">
      <c r="A8" s="107">
        <v>42199</v>
      </c>
      <c r="B8" s="108">
        <v>0.70833333333333337</v>
      </c>
      <c r="C8" s="109" t="s">
        <v>24</v>
      </c>
      <c r="D8" s="62" t="s">
        <v>13</v>
      </c>
      <c r="E8" s="109" t="s">
        <v>14</v>
      </c>
      <c r="F8" s="63" t="s">
        <v>23</v>
      </c>
      <c r="G8" s="110"/>
      <c r="H8" s="111">
        <v>2</v>
      </c>
      <c r="I8" s="74"/>
      <c r="J8" s="74"/>
    </row>
    <row r="9" spans="1:11" ht="16.5" x14ac:dyDescent="0.3">
      <c r="A9" s="115">
        <v>42199</v>
      </c>
      <c r="B9" s="116">
        <v>0.75</v>
      </c>
      <c r="C9" s="118" t="s">
        <v>221</v>
      </c>
      <c r="D9" s="62" t="s">
        <v>44</v>
      </c>
      <c r="E9" s="64" t="s">
        <v>39</v>
      </c>
      <c r="F9" s="64" t="s">
        <v>23</v>
      </c>
      <c r="G9" s="117"/>
      <c r="H9" s="65">
        <v>12</v>
      </c>
      <c r="I9" s="74"/>
      <c r="J9" s="74"/>
    </row>
    <row r="10" spans="1:11" ht="16.5" x14ac:dyDescent="0.3">
      <c r="A10" s="115">
        <v>42200</v>
      </c>
      <c r="B10" s="116">
        <v>0.5</v>
      </c>
      <c r="C10" s="64" t="s">
        <v>36</v>
      </c>
      <c r="D10" s="62" t="s">
        <v>44</v>
      </c>
      <c r="E10" s="64" t="s">
        <v>220</v>
      </c>
      <c r="F10" s="64" t="s">
        <v>23</v>
      </c>
      <c r="G10" s="117"/>
      <c r="H10" s="65">
        <v>8</v>
      </c>
      <c r="I10" s="74"/>
      <c r="J10" s="74"/>
      <c r="K10" s="74"/>
    </row>
    <row r="11" spans="1:11" ht="16.5" x14ac:dyDescent="0.3">
      <c r="A11" s="115">
        <v>42200</v>
      </c>
      <c r="B11" s="116">
        <v>0.70833333333333337</v>
      </c>
      <c r="C11" s="118" t="s">
        <v>221</v>
      </c>
      <c r="D11" s="62" t="s">
        <v>44</v>
      </c>
      <c r="E11" s="64" t="s">
        <v>39</v>
      </c>
      <c r="F11" s="64" t="s">
        <v>23</v>
      </c>
      <c r="G11" s="117"/>
      <c r="H11" s="65">
        <v>16</v>
      </c>
      <c r="I11" s="74"/>
      <c r="J11" s="74"/>
    </row>
    <row r="12" spans="1:11" x14ac:dyDescent="0.25">
      <c r="A12" s="115">
        <v>42201</v>
      </c>
      <c r="B12" s="116">
        <v>0.58333333333333337</v>
      </c>
      <c r="C12" s="64" t="s">
        <v>36</v>
      </c>
      <c r="D12" s="62" t="s">
        <v>44</v>
      </c>
      <c r="E12" s="64" t="s">
        <v>37</v>
      </c>
      <c r="F12" s="64" t="s">
        <v>27</v>
      </c>
      <c r="G12" s="64" t="s">
        <v>40</v>
      </c>
      <c r="H12" s="65">
        <v>25</v>
      </c>
      <c r="I12" s="74"/>
      <c r="J12" s="74"/>
    </row>
    <row r="13" spans="1:11" x14ac:dyDescent="0.25">
      <c r="A13" s="107">
        <v>42205</v>
      </c>
      <c r="B13" s="108">
        <v>0.44791666666666669</v>
      </c>
      <c r="C13" s="109" t="s">
        <v>20</v>
      </c>
      <c r="D13" s="62" t="s">
        <v>13</v>
      </c>
      <c r="E13" s="109" t="s">
        <v>14</v>
      </c>
      <c r="F13" s="63" t="s">
        <v>25</v>
      </c>
      <c r="G13" s="110"/>
      <c r="H13" s="111">
        <v>5</v>
      </c>
      <c r="I13" s="22"/>
      <c r="J13" s="22"/>
    </row>
    <row r="14" spans="1:11" ht="16.5" x14ac:dyDescent="0.3">
      <c r="A14" s="107">
        <v>42205</v>
      </c>
      <c r="B14" s="108">
        <v>0.61458333333333337</v>
      </c>
      <c r="C14" s="109" t="s">
        <v>12</v>
      </c>
      <c r="D14" s="62" t="s">
        <v>13</v>
      </c>
      <c r="E14" s="109" t="s">
        <v>14</v>
      </c>
      <c r="F14" s="63" t="s">
        <v>25</v>
      </c>
      <c r="G14" s="110"/>
      <c r="H14" s="111">
        <v>7</v>
      </c>
      <c r="I14" s="29"/>
      <c r="J14" s="25"/>
      <c r="K14" s="25"/>
    </row>
    <row r="15" spans="1:11" ht="16.5" x14ac:dyDescent="0.3">
      <c r="A15" s="107">
        <v>42206</v>
      </c>
      <c r="B15" s="108">
        <v>0.40625</v>
      </c>
      <c r="C15" s="109" t="s">
        <v>17</v>
      </c>
      <c r="D15" s="62" t="s">
        <v>13</v>
      </c>
      <c r="E15" s="109" t="s">
        <v>14</v>
      </c>
      <c r="F15" s="63" t="s">
        <v>25</v>
      </c>
      <c r="G15" s="110"/>
      <c r="H15" s="111">
        <v>7</v>
      </c>
      <c r="I15" s="20"/>
      <c r="J15" s="29"/>
      <c r="K15" s="25"/>
    </row>
    <row r="16" spans="1:11" ht="16.5" x14ac:dyDescent="0.3">
      <c r="A16" s="115">
        <v>42206</v>
      </c>
      <c r="B16" s="116">
        <v>0.5</v>
      </c>
      <c r="C16" s="64" t="s">
        <v>36</v>
      </c>
      <c r="D16" s="62" t="s">
        <v>44</v>
      </c>
      <c r="E16" s="64" t="s">
        <v>220</v>
      </c>
      <c r="F16" s="63" t="s">
        <v>25</v>
      </c>
      <c r="G16" s="117"/>
      <c r="H16" s="65">
        <v>12</v>
      </c>
      <c r="I16" s="20"/>
      <c r="J16" s="25"/>
      <c r="K16" s="25"/>
    </row>
    <row r="17" spans="1:11" ht="16.5" x14ac:dyDescent="0.3">
      <c r="A17" s="115">
        <v>42206</v>
      </c>
      <c r="B17" s="116">
        <v>0.75</v>
      </c>
      <c r="C17" s="118" t="s">
        <v>221</v>
      </c>
      <c r="D17" s="62" t="s">
        <v>44</v>
      </c>
      <c r="E17" s="64" t="s">
        <v>39</v>
      </c>
      <c r="F17" s="63" t="s">
        <v>25</v>
      </c>
      <c r="G17" s="117"/>
      <c r="H17" s="65">
        <v>6</v>
      </c>
      <c r="I17" s="25"/>
      <c r="J17" s="25"/>
      <c r="K17" s="25"/>
    </row>
    <row r="18" spans="1:11" ht="16.5" x14ac:dyDescent="0.3">
      <c r="A18" s="115">
        <v>42207</v>
      </c>
      <c r="B18" s="116">
        <v>0.5</v>
      </c>
      <c r="C18" s="64" t="s">
        <v>36</v>
      </c>
      <c r="D18" s="62" t="s">
        <v>44</v>
      </c>
      <c r="E18" s="64" t="s">
        <v>220</v>
      </c>
      <c r="F18" s="63" t="s">
        <v>25</v>
      </c>
      <c r="G18" s="117"/>
      <c r="H18" s="65">
        <v>13</v>
      </c>
    </row>
    <row r="19" spans="1:11" ht="16.5" x14ac:dyDescent="0.3">
      <c r="A19" s="115">
        <v>42207</v>
      </c>
      <c r="B19" s="116">
        <v>0.70833333333333337</v>
      </c>
      <c r="C19" s="118" t="s">
        <v>221</v>
      </c>
      <c r="D19" s="62" t="s">
        <v>44</v>
      </c>
      <c r="E19" s="64" t="s">
        <v>39</v>
      </c>
      <c r="F19" s="63" t="s">
        <v>25</v>
      </c>
      <c r="G19" s="117"/>
      <c r="H19" s="65">
        <v>8</v>
      </c>
      <c r="I19" s="74"/>
      <c r="J19" s="74"/>
    </row>
    <row r="20" spans="1:11" x14ac:dyDescent="0.25">
      <c r="A20" s="107">
        <v>42208</v>
      </c>
      <c r="B20" s="108">
        <v>0.60416666666666663</v>
      </c>
      <c r="C20" s="109" t="s">
        <v>26</v>
      </c>
      <c r="D20" s="62" t="s">
        <v>13</v>
      </c>
      <c r="E20" s="109" t="s">
        <v>14</v>
      </c>
      <c r="F20" s="63" t="s">
        <v>27</v>
      </c>
      <c r="G20" s="110" t="s">
        <v>28</v>
      </c>
      <c r="H20" s="111">
        <v>15</v>
      </c>
      <c r="I20" s="74"/>
      <c r="J20" s="74"/>
    </row>
    <row r="21" spans="1:11" x14ac:dyDescent="0.25">
      <c r="A21" s="115">
        <v>42212</v>
      </c>
      <c r="B21" s="116">
        <v>0.45833333333333331</v>
      </c>
      <c r="C21" s="64" t="s">
        <v>36</v>
      </c>
      <c r="D21" s="62" t="s">
        <v>44</v>
      </c>
      <c r="E21" s="64" t="s">
        <v>41</v>
      </c>
      <c r="F21" s="64" t="s">
        <v>222</v>
      </c>
      <c r="G21" s="64" t="s">
        <v>42</v>
      </c>
      <c r="H21" s="65">
        <v>12</v>
      </c>
    </row>
    <row r="22" spans="1:11" x14ac:dyDescent="0.25">
      <c r="A22" s="107">
        <v>42212</v>
      </c>
      <c r="B22" s="108">
        <v>0.45833333333333331</v>
      </c>
      <c r="C22" s="109" t="s">
        <v>17</v>
      </c>
      <c r="D22" s="62" t="s">
        <v>13</v>
      </c>
      <c r="E22" s="109" t="s">
        <v>14</v>
      </c>
      <c r="F22" s="63" t="s">
        <v>29</v>
      </c>
      <c r="G22" s="110" t="s">
        <v>30</v>
      </c>
      <c r="H22" s="111">
        <v>18</v>
      </c>
    </row>
    <row r="23" spans="1:11" x14ac:dyDescent="0.25">
      <c r="A23" s="120">
        <v>42213</v>
      </c>
      <c r="B23" s="121">
        <v>0.45833333333333331</v>
      </c>
      <c r="C23" s="109" t="s">
        <v>31</v>
      </c>
      <c r="D23" s="62" t="s">
        <v>13</v>
      </c>
      <c r="E23" s="109" t="s">
        <v>14</v>
      </c>
      <c r="F23" s="63" t="s">
        <v>27</v>
      </c>
      <c r="G23" s="122" t="s">
        <v>32</v>
      </c>
      <c r="H23" s="123">
        <v>25</v>
      </c>
    </row>
    <row r="24" spans="1:11" x14ac:dyDescent="0.25">
      <c r="A24" s="107">
        <v>42213</v>
      </c>
      <c r="B24" s="108">
        <v>0.55208333333333337</v>
      </c>
      <c r="C24" s="109" t="s">
        <v>20</v>
      </c>
      <c r="D24" s="62" t="s">
        <v>13</v>
      </c>
      <c r="E24" s="109" t="s">
        <v>14</v>
      </c>
      <c r="F24" s="63" t="s">
        <v>25</v>
      </c>
      <c r="G24" s="110"/>
      <c r="H24" s="111">
        <v>25</v>
      </c>
      <c r="I24" s="18"/>
      <c r="J24" s="18"/>
    </row>
    <row r="25" spans="1:11" x14ac:dyDescent="0.25">
      <c r="A25" s="115">
        <v>42213</v>
      </c>
      <c r="B25" s="116">
        <v>0.60416666666666663</v>
      </c>
      <c r="C25" s="118" t="s">
        <v>221</v>
      </c>
      <c r="D25" s="62" t="s">
        <v>44</v>
      </c>
      <c r="E25" s="64" t="s">
        <v>43</v>
      </c>
      <c r="F25" s="64" t="s">
        <v>222</v>
      </c>
      <c r="G25" s="64" t="s">
        <v>42</v>
      </c>
      <c r="H25" s="65">
        <v>12</v>
      </c>
      <c r="I25" s="18"/>
      <c r="J25" s="18"/>
    </row>
    <row r="26" spans="1:11" x14ac:dyDescent="0.25">
      <c r="A26" s="107">
        <v>42213</v>
      </c>
      <c r="B26" s="108">
        <v>0.70833333333333337</v>
      </c>
      <c r="C26" s="109" t="s">
        <v>24</v>
      </c>
      <c r="D26" s="62" t="s">
        <v>13</v>
      </c>
      <c r="E26" s="109" t="s">
        <v>14</v>
      </c>
      <c r="F26" s="63" t="s">
        <v>25</v>
      </c>
      <c r="G26" s="110"/>
      <c r="H26" s="111">
        <v>1</v>
      </c>
      <c r="I26" s="74"/>
      <c r="J26" s="74"/>
    </row>
    <row r="27" spans="1:11" ht="16.5" x14ac:dyDescent="0.3">
      <c r="A27" s="66">
        <v>42233</v>
      </c>
      <c r="B27" s="60">
        <v>0.5625</v>
      </c>
      <c r="C27" s="62" t="s">
        <v>12</v>
      </c>
      <c r="D27" s="62" t="s">
        <v>13</v>
      </c>
      <c r="E27" s="64" t="s">
        <v>14</v>
      </c>
      <c r="F27" s="63" t="s">
        <v>45</v>
      </c>
      <c r="G27" s="61" t="s">
        <v>46</v>
      </c>
      <c r="H27" s="29">
        <v>17</v>
      </c>
      <c r="I27" s="25"/>
      <c r="J27" s="25"/>
      <c r="K27" s="25"/>
    </row>
    <row r="28" spans="1:11" x14ac:dyDescent="0.25">
      <c r="A28" s="34">
        <v>42236</v>
      </c>
      <c r="B28" s="35">
        <v>0.375</v>
      </c>
      <c r="C28" s="36" t="s">
        <v>24</v>
      </c>
      <c r="D28" s="37" t="s">
        <v>13</v>
      </c>
      <c r="E28" s="64" t="s">
        <v>14</v>
      </c>
      <c r="F28" s="38" t="s">
        <v>47</v>
      </c>
      <c r="G28" s="39" t="s">
        <v>48</v>
      </c>
      <c r="H28" s="65">
        <v>80</v>
      </c>
      <c r="I28" s="25"/>
      <c r="J28" s="25"/>
      <c r="K28" s="25"/>
    </row>
    <row r="29" spans="1:11" x14ac:dyDescent="0.25">
      <c r="A29" s="66">
        <v>42242</v>
      </c>
      <c r="B29" s="79">
        <v>0.46875</v>
      </c>
      <c r="C29" s="106" t="s">
        <v>33</v>
      </c>
      <c r="D29" s="25" t="s">
        <v>34</v>
      </c>
      <c r="E29" s="25" t="s">
        <v>54</v>
      </c>
      <c r="F29" s="79" t="s">
        <v>51</v>
      </c>
      <c r="G29" s="25" t="s">
        <v>52</v>
      </c>
      <c r="H29" s="25">
        <v>31</v>
      </c>
      <c r="I29" s="25"/>
      <c r="J29" s="25"/>
      <c r="K29" s="25"/>
    </row>
    <row r="30" spans="1:11" x14ac:dyDescent="0.25">
      <c r="A30" s="66">
        <v>42242</v>
      </c>
      <c r="B30" s="79">
        <v>0.51041666666666663</v>
      </c>
      <c r="C30" s="106" t="s">
        <v>33</v>
      </c>
      <c r="D30" s="25" t="s">
        <v>34</v>
      </c>
      <c r="E30" s="25" t="s">
        <v>54</v>
      </c>
      <c r="F30" s="79" t="s">
        <v>51</v>
      </c>
      <c r="G30" s="25" t="s">
        <v>52</v>
      </c>
      <c r="H30" s="25">
        <v>40</v>
      </c>
      <c r="I30" s="25"/>
      <c r="J30" s="25"/>
      <c r="K30" s="25"/>
    </row>
    <row r="31" spans="1:11" x14ac:dyDescent="0.25">
      <c r="A31" s="34">
        <v>42243</v>
      </c>
      <c r="B31" s="35">
        <v>0.52083333333333337</v>
      </c>
      <c r="C31" s="36" t="s">
        <v>17</v>
      </c>
      <c r="D31" s="37" t="s">
        <v>13</v>
      </c>
      <c r="E31" s="64" t="s">
        <v>14</v>
      </c>
      <c r="F31" s="38" t="s">
        <v>15</v>
      </c>
      <c r="G31" s="39" t="s">
        <v>16</v>
      </c>
      <c r="H31" s="24">
        <v>35</v>
      </c>
      <c r="I31" s="18"/>
      <c r="J31" s="18"/>
    </row>
    <row r="32" spans="1:11" x14ac:dyDescent="0.25">
      <c r="A32" s="34">
        <v>42243</v>
      </c>
      <c r="B32" s="35">
        <v>0.58333333333333337</v>
      </c>
      <c r="C32" s="36" t="s">
        <v>20</v>
      </c>
      <c r="D32" s="37" t="s">
        <v>13</v>
      </c>
      <c r="E32" s="64" t="s">
        <v>14</v>
      </c>
      <c r="F32" s="38" t="s">
        <v>15</v>
      </c>
      <c r="G32" s="39" t="s">
        <v>16</v>
      </c>
      <c r="H32" s="24">
        <v>37</v>
      </c>
    </row>
    <row r="33" spans="1:11" x14ac:dyDescent="0.25">
      <c r="A33" s="34">
        <v>42247</v>
      </c>
      <c r="B33" s="38">
        <v>0.33333333333333331</v>
      </c>
      <c r="C33" s="36" t="s">
        <v>20</v>
      </c>
      <c r="D33" s="37" t="s">
        <v>13</v>
      </c>
      <c r="E33" s="64" t="s">
        <v>14</v>
      </c>
      <c r="F33" s="38" t="s">
        <v>27</v>
      </c>
      <c r="G33" s="39" t="s">
        <v>50</v>
      </c>
      <c r="H33" s="23">
        <v>25</v>
      </c>
      <c r="I33" s="18"/>
      <c r="J33" s="18"/>
    </row>
    <row r="34" spans="1:11" x14ac:dyDescent="0.25">
      <c r="A34" s="41">
        <v>42247</v>
      </c>
      <c r="B34" s="42">
        <v>0.4375</v>
      </c>
      <c r="C34" s="37" t="s">
        <v>31</v>
      </c>
      <c r="D34" s="37" t="s">
        <v>13</v>
      </c>
      <c r="E34" s="37" t="s">
        <v>14</v>
      </c>
      <c r="F34" s="37" t="s">
        <v>23</v>
      </c>
      <c r="G34" s="40"/>
      <c r="H34" s="37">
        <v>2</v>
      </c>
    </row>
    <row r="35" spans="1:11" x14ac:dyDescent="0.25">
      <c r="A35" s="66">
        <v>42247</v>
      </c>
      <c r="B35" s="79">
        <v>0.5</v>
      </c>
      <c r="C35" s="106" t="s">
        <v>33</v>
      </c>
      <c r="D35" s="25" t="s">
        <v>34</v>
      </c>
      <c r="E35" s="25" t="s">
        <v>53</v>
      </c>
      <c r="F35" s="79" t="s">
        <v>23</v>
      </c>
      <c r="G35" s="25"/>
      <c r="H35" s="25">
        <v>9</v>
      </c>
      <c r="I35" s="25"/>
      <c r="J35" s="25"/>
      <c r="K35" s="25"/>
    </row>
    <row r="36" spans="1:11" x14ac:dyDescent="0.25">
      <c r="A36" s="34">
        <v>42247</v>
      </c>
      <c r="B36" s="35">
        <v>0.58333333333333337</v>
      </c>
      <c r="C36" s="36" t="s">
        <v>12</v>
      </c>
      <c r="D36" s="37" t="s">
        <v>13</v>
      </c>
      <c r="E36" s="64" t="s">
        <v>14</v>
      </c>
      <c r="F36" s="38" t="s">
        <v>23</v>
      </c>
      <c r="G36" s="39"/>
      <c r="H36" s="24">
        <v>10</v>
      </c>
      <c r="I36" s="74"/>
      <c r="J36" s="74"/>
    </row>
    <row r="37" spans="1:11" x14ac:dyDescent="0.25">
      <c r="A37" s="75">
        <v>42248</v>
      </c>
      <c r="B37" s="76">
        <v>0.33333333333333331</v>
      </c>
      <c r="C37" s="67" t="s">
        <v>20</v>
      </c>
      <c r="D37" s="74" t="s">
        <v>13</v>
      </c>
      <c r="E37" s="28" t="s">
        <v>14</v>
      </c>
      <c r="F37" s="76" t="s">
        <v>27</v>
      </c>
      <c r="G37" s="74" t="s">
        <v>50</v>
      </c>
      <c r="H37" s="74">
        <v>25</v>
      </c>
      <c r="I37" s="74"/>
      <c r="J37" s="74"/>
    </row>
    <row r="38" spans="1:11" x14ac:dyDescent="0.25">
      <c r="A38" s="75">
        <v>42248</v>
      </c>
      <c r="B38" s="76">
        <v>0.39583333333333331</v>
      </c>
      <c r="C38" s="67" t="s">
        <v>12</v>
      </c>
      <c r="D38" s="74" t="s">
        <v>13</v>
      </c>
      <c r="E38" s="28" t="s">
        <v>14</v>
      </c>
      <c r="F38" s="76" t="s">
        <v>27</v>
      </c>
      <c r="G38" s="74" t="s">
        <v>50</v>
      </c>
      <c r="H38" s="74">
        <v>25</v>
      </c>
      <c r="I38" s="74"/>
      <c r="J38" s="74"/>
    </row>
    <row r="39" spans="1:11" x14ac:dyDescent="0.25">
      <c r="A39" s="75">
        <v>42248</v>
      </c>
      <c r="B39" s="76">
        <v>0.64583333333333337</v>
      </c>
      <c r="C39" s="67" t="s">
        <v>26</v>
      </c>
      <c r="D39" s="74" t="s">
        <v>13</v>
      </c>
      <c r="E39" s="28" t="s">
        <v>14</v>
      </c>
      <c r="F39" s="76" t="s">
        <v>27</v>
      </c>
      <c r="G39" s="74" t="s">
        <v>50</v>
      </c>
      <c r="H39" s="74">
        <v>19</v>
      </c>
      <c r="I39" s="74"/>
    </row>
    <row r="40" spans="1:11" x14ac:dyDescent="0.25">
      <c r="A40" s="70">
        <v>42249</v>
      </c>
      <c r="B40" s="71">
        <v>0.45833333333333331</v>
      </c>
      <c r="C40" s="2" t="s">
        <v>36</v>
      </c>
      <c r="D40" s="37" t="s">
        <v>44</v>
      </c>
      <c r="E40" s="2" t="s">
        <v>39</v>
      </c>
      <c r="F40" s="38" t="s">
        <v>23</v>
      </c>
      <c r="G40" s="1"/>
      <c r="H40" s="72">
        <v>10</v>
      </c>
    </row>
    <row r="41" spans="1:11" x14ac:dyDescent="0.25">
      <c r="A41" s="75">
        <v>42249</v>
      </c>
      <c r="B41" s="76">
        <v>0.45833333333333331</v>
      </c>
      <c r="C41" s="67" t="s">
        <v>12</v>
      </c>
      <c r="D41" s="74" t="s">
        <v>13</v>
      </c>
      <c r="E41" s="28" t="s">
        <v>14</v>
      </c>
      <c r="F41" s="76" t="s">
        <v>27</v>
      </c>
      <c r="G41" s="74" t="s">
        <v>55</v>
      </c>
      <c r="H41" s="74">
        <v>23</v>
      </c>
      <c r="I41" s="19"/>
      <c r="J41" s="19"/>
    </row>
    <row r="42" spans="1:11" x14ac:dyDescent="0.25">
      <c r="A42" s="75">
        <v>42249</v>
      </c>
      <c r="B42" s="76">
        <v>0.5</v>
      </c>
      <c r="C42" s="67" t="s">
        <v>20</v>
      </c>
      <c r="D42" s="74" t="s">
        <v>13</v>
      </c>
      <c r="E42" s="28" t="s">
        <v>14</v>
      </c>
      <c r="F42" s="76" t="s">
        <v>27</v>
      </c>
      <c r="G42" s="74" t="s">
        <v>55</v>
      </c>
      <c r="H42" s="74">
        <v>23</v>
      </c>
    </row>
    <row r="43" spans="1:11" x14ac:dyDescent="0.25">
      <c r="A43" s="75">
        <v>42249</v>
      </c>
      <c r="B43" s="9">
        <v>0.5625</v>
      </c>
      <c r="C43" s="74" t="s">
        <v>33</v>
      </c>
      <c r="D43" s="37" t="s">
        <v>34</v>
      </c>
      <c r="E43" s="74" t="s">
        <v>35</v>
      </c>
      <c r="F43" s="76" t="s">
        <v>23</v>
      </c>
      <c r="G43" s="74"/>
      <c r="H43" s="74">
        <v>4</v>
      </c>
    </row>
    <row r="44" spans="1:11" x14ac:dyDescent="0.25">
      <c r="A44" s="75">
        <v>42249</v>
      </c>
      <c r="B44" s="9">
        <v>0.60416666666666663</v>
      </c>
      <c r="C44" s="67" t="s">
        <v>24</v>
      </c>
      <c r="D44" s="74" t="s">
        <v>13</v>
      </c>
      <c r="E44" s="28" t="s">
        <v>14</v>
      </c>
      <c r="F44" s="76" t="s">
        <v>27</v>
      </c>
      <c r="G44" s="14" t="s">
        <v>55</v>
      </c>
      <c r="H44" s="17">
        <v>25</v>
      </c>
      <c r="I44" s="19"/>
      <c r="J44" s="19"/>
    </row>
    <row r="45" spans="1:11" x14ac:dyDescent="0.25">
      <c r="A45" s="70">
        <v>42249</v>
      </c>
      <c r="B45" s="71">
        <v>0.625</v>
      </c>
      <c r="C45" s="2" t="s">
        <v>36</v>
      </c>
      <c r="D45" s="37" t="s">
        <v>44</v>
      </c>
      <c r="E45" s="2" t="s">
        <v>43</v>
      </c>
      <c r="F45" s="38" t="s">
        <v>23</v>
      </c>
      <c r="G45" s="1"/>
      <c r="H45" s="72">
        <v>10</v>
      </c>
      <c r="I45" s="22"/>
      <c r="J45" s="22"/>
    </row>
    <row r="46" spans="1:11" x14ac:dyDescent="0.25">
      <c r="A46" s="41">
        <v>42249</v>
      </c>
      <c r="B46" s="42">
        <v>0.64583333333333337</v>
      </c>
      <c r="C46" s="37" t="s">
        <v>26</v>
      </c>
      <c r="D46" s="37" t="s">
        <v>13</v>
      </c>
      <c r="E46" s="23" t="s">
        <v>14</v>
      </c>
      <c r="F46" s="37" t="s">
        <v>27</v>
      </c>
      <c r="G46" s="40" t="s">
        <v>55</v>
      </c>
      <c r="H46" s="37">
        <v>25</v>
      </c>
    </row>
    <row r="47" spans="1:11" x14ac:dyDescent="0.25">
      <c r="A47" s="34">
        <v>42250</v>
      </c>
      <c r="B47" s="38">
        <v>0.39583333333333331</v>
      </c>
      <c r="C47" s="68" t="s">
        <v>12</v>
      </c>
      <c r="D47" s="37" t="s">
        <v>13</v>
      </c>
      <c r="E47" s="23" t="s">
        <v>14</v>
      </c>
      <c r="F47" s="38" t="s">
        <v>27</v>
      </c>
      <c r="G47" s="23" t="s">
        <v>56</v>
      </c>
      <c r="H47" s="24">
        <v>25</v>
      </c>
    </row>
    <row r="48" spans="1:11" x14ac:dyDescent="0.25">
      <c r="A48" s="34">
        <v>42250</v>
      </c>
      <c r="B48" s="35">
        <v>0.6875</v>
      </c>
      <c r="C48" s="37" t="s">
        <v>20</v>
      </c>
      <c r="D48" s="37" t="s">
        <v>13</v>
      </c>
      <c r="E48" s="23" t="s">
        <v>14</v>
      </c>
      <c r="F48" s="37" t="s">
        <v>23</v>
      </c>
      <c r="G48" s="40"/>
      <c r="H48" s="37">
        <v>25</v>
      </c>
    </row>
    <row r="49" spans="1:10" x14ac:dyDescent="0.25">
      <c r="A49" s="75">
        <v>42255</v>
      </c>
      <c r="B49" s="9">
        <v>0.36458333333333331</v>
      </c>
      <c r="C49" s="74" t="s">
        <v>33</v>
      </c>
      <c r="D49" s="37" t="s">
        <v>34</v>
      </c>
      <c r="E49" s="74" t="s">
        <v>85</v>
      </c>
      <c r="F49" s="76" t="s">
        <v>86</v>
      </c>
      <c r="G49" s="74" t="s">
        <v>87</v>
      </c>
      <c r="H49" s="74">
        <v>10</v>
      </c>
    </row>
    <row r="50" spans="1:10" x14ac:dyDescent="0.25">
      <c r="A50" s="75">
        <v>42255</v>
      </c>
      <c r="B50" s="9">
        <v>0.45833333333333331</v>
      </c>
      <c r="C50" s="74" t="s">
        <v>33</v>
      </c>
      <c r="D50" s="37" t="s">
        <v>34</v>
      </c>
      <c r="E50" s="74" t="s">
        <v>35</v>
      </c>
      <c r="F50" s="76" t="s">
        <v>23</v>
      </c>
      <c r="G50" s="74"/>
      <c r="H50" s="74">
        <v>4</v>
      </c>
    </row>
    <row r="51" spans="1:10" x14ac:dyDescent="0.25">
      <c r="A51" s="75">
        <v>42255</v>
      </c>
      <c r="B51" s="9">
        <v>0.52083333333333337</v>
      </c>
      <c r="C51" s="74" t="s">
        <v>33</v>
      </c>
      <c r="D51" s="37" t="s">
        <v>34</v>
      </c>
      <c r="E51" s="74" t="s">
        <v>88</v>
      </c>
      <c r="F51" s="76" t="s">
        <v>79</v>
      </c>
      <c r="G51" s="74" t="s">
        <v>89</v>
      </c>
      <c r="H51" s="74">
        <v>22</v>
      </c>
      <c r="I51" s="19"/>
      <c r="J51" s="19"/>
    </row>
    <row r="52" spans="1:10" x14ac:dyDescent="0.25">
      <c r="A52" s="75">
        <v>42255</v>
      </c>
      <c r="B52" s="9">
        <v>0.58333333333333337</v>
      </c>
      <c r="C52" s="74" t="s">
        <v>33</v>
      </c>
      <c r="D52" s="37" t="s">
        <v>34</v>
      </c>
      <c r="E52" s="74" t="s">
        <v>88</v>
      </c>
      <c r="F52" s="76" t="s">
        <v>79</v>
      </c>
      <c r="G52" s="74" t="s">
        <v>89</v>
      </c>
      <c r="H52" s="74">
        <v>12</v>
      </c>
      <c r="I52" s="21"/>
      <c r="J52" s="19"/>
    </row>
    <row r="53" spans="1:10" x14ac:dyDescent="0.25">
      <c r="A53" s="34">
        <v>42255</v>
      </c>
      <c r="B53" s="35">
        <v>0.72916666666666663</v>
      </c>
      <c r="C53" s="37" t="s">
        <v>24</v>
      </c>
      <c r="D53" s="37" t="s">
        <v>13</v>
      </c>
      <c r="E53" s="23" t="s">
        <v>14</v>
      </c>
      <c r="F53" s="37" t="s">
        <v>57</v>
      </c>
      <c r="G53" s="40" t="s">
        <v>58</v>
      </c>
      <c r="H53" s="37">
        <v>25</v>
      </c>
    </row>
    <row r="54" spans="1:10" x14ac:dyDescent="0.25">
      <c r="A54" s="34">
        <v>42256</v>
      </c>
      <c r="B54" s="35">
        <v>0.41666666666666669</v>
      </c>
      <c r="C54" s="37" t="s">
        <v>20</v>
      </c>
      <c r="D54" s="37" t="s">
        <v>13</v>
      </c>
      <c r="E54" s="23" t="s">
        <v>14</v>
      </c>
      <c r="F54" s="37" t="s">
        <v>57</v>
      </c>
      <c r="G54" s="40" t="s">
        <v>58</v>
      </c>
      <c r="H54" s="37">
        <v>25</v>
      </c>
      <c r="I54" s="18"/>
      <c r="J54" s="18"/>
    </row>
    <row r="55" spans="1:10" x14ac:dyDescent="0.25">
      <c r="A55" s="34">
        <v>42256</v>
      </c>
      <c r="B55" s="35">
        <v>0.52083333333333337</v>
      </c>
      <c r="C55" s="36" t="s">
        <v>31</v>
      </c>
      <c r="D55" s="37" t="s">
        <v>13</v>
      </c>
      <c r="E55" s="23" t="s">
        <v>14</v>
      </c>
      <c r="F55" s="38" t="s">
        <v>57</v>
      </c>
      <c r="G55" s="39" t="s">
        <v>58</v>
      </c>
      <c r="H55" s="37">
        <v>20</v>
      </c>
      <c r="I55" s="22"/>
      <c r="J55" s="22"/>
    </row>
    <row r="56" spans="1:10" x14ac:dyDescent="0.25">
      <c r="A56" s="34">
        <v>42256</v>
      </c>
      <c r="B56" s="35">
        <v>0.64583333333333337</v>
      </c>
      <c r="C56" s="36" t="s">
        <v>17</v>
      </c>
      <c r="D56" s="37" t="s">
        <v>13</v>
      </c>
      <c r="E56" s="23" t="s">
        <v>14</v>
      </c>
      <c r="F56" s="37" t="s">
        <v>57</v>
      </c>
      <c r="G56" s="39" t="s">
        <v>59</v>
      </c>
      <c r="H56" s="37">
        <v>25</v>
      </c>
      <c r="I56" s="74"/>
      <c r="J56" s="74"/>
    </row>
    <row r="57" spans="1:10" x14ac:dyDescent="0.25">
      <c r="A57" s="34">
        <v>42256</v>
      </c>
      <c r="B57" s="35">
        <v>0.75</v>
      </c>
      <c r="C57" s="36" t="s">
        <v>24</v>
      </c>
      <c r="D57" s="37" t="s">
        <v>13</v>
      </c>
      <c r="E57" s="23" t="s">
        <v>14</v>
      </c>
      <c r="F57" s="38" t="s">
        <v>27</v>
      </c>
      <c r="G57" s="39" t="s">
        <v>59</v>
      </c>
      <c r="H57" s="37">
        <v>25</v>
      </c>
      <c r="I57" s="74"/>
      <c r="J57" s="74"/>
    </row>
    <row r="58" spans="1:10" x14ac:dyDescent="0.25">
      <c r="A58" s="75">
        <v>42257</v>
      </c>
      <c r="B58" s="9">
        <v>0.58333333333333337</v>
      </c>
      <c r="C58" s="74" t="s">
        <v>33</v>
      </c>
      <c r="D58" s="37" t="s">
        <v>34</v>
      </c>
      <c r="E58" s="74" t="s">
        <v>90</v>
      </c>
      <c r="F58" s="76" t="s">
        <v>91</v>
      </c>
      <c r="G58" s="74" t="s">
        <v>92</v>
      </c>
      <c r="H58" s="74">
        <v>22</v>
      </c>
      <c r="I58" s="22"/>
      <c r="J58" s="22"/>
    </row>
    <row r="59" spans="1:10" x14ac:dyDescent="0.25">
      <c r="A59" s="34">
        <v>42257</v>
      </c>
      <c r="B59" s="35">
        <v>0.72916666666666663</v>
      </c>
      <c r="C59" s="36" t="s">
        <v>20</v>
      </c>
      <c r="D59" s="37" t="s">
        <v>13</v>
      </c>
      <c r="E59" s="23" t="s">
        <v>14</v>
      </c>
      <c r="F59" s="38" t="s">
        <v>57</v>
      </c>
      <c r="G59" s="39" t="s">
        <v>58</v>
      </c>
      <c r="H59" s="37">
        <v>25</v>
      </c>
    </row>
    <row r="60" spans="1:10" x14ac:dyDescent="0.25">
      <c r="A60" s="75">
        <v>42261</v>
      </c>
      <c r="B60" s="9">
        <v>0.375</v>
      </c>
      <c r="C60" s="74" t="s">
        <v>33</v>
      </c>
      <c r="D60" s="37" t="s">
        <v>34</v>
      </c>
      <c r="E60" s="74" t="s">
        <v>88</v>
      </c>
      <c r="F60" s="74" t="s">
        <v>79</v>
      </c>
      <c r="G60" s="74" t="s">
        <v>93</v>
      </c>
      <c r="H60" s="74">
        <v>22</v>
      </c>
      <c r="I60" s="21"/>
      <c r="J60" s="19"/>
    </row>
    <row r="61" spans="1:10" x14ac:dyDescent="0.25">
      <c r="A61" s="34">
        <v>42261</v>
      </c>
      <c r="B61" s="35">
        <v>0.41666666666666669</v>
      </c>
      <c r="C61" s="36" t="s">
        <v>12</v>
      </c>
      <c r="D61" s="37" t="s">
        <v>13</v>
      </c>
      <c r="E61" s="23" t="s">
        <v>14</v>
      </c>
      <c r="F61" s="38" t="s">
        <v>61</v>
      </c>
      <c r="G61" s="39" t="s">
        <v>60</v>
      </c>
      <c r="H61" s="37">
        <v>25</v>
      </c>
      <c r="I61" s="19"/>
      <c r="J61" s="19"/>
    </row>
    <row r="62" spans="1:10" x14ac:dyDescent="0.25">
      <c r="A62" s="75">
        <v>42261</v>
      </c>
      <c r="B62" s="9">
        <v>0.4375</v>
      </c>
      <c r="C62" s="74" t="s">
        <v>33</v>
      </c>
      <c r="D62" s="37" t="s">
        <v>34</v>
      </c>
      <c r="E62" s="73" t="s">
        <v>88</v>
      </c>
      <c r="F62" s="76" t="s">
        <v>94</v>
      </c>
      <c r="G62" s="74" t="s">
        <v>93</v>
      </c>
      <c r="H62" s="74">
        <v>13</v>
      </c>
      <c r="I62" s="21"/>
      <c r="J62" s="19"/>
    </row>
    <row r="63" spans="1:10" x14ac:dyDescent="0.25">
      <c r="A63" s="75">
        <v>42261</v>
      </c>
      <c r="B63" s="9">
        <v>0.58333333333333337</v>
      </c>
      <c r="C63" s="74" t="s">
        <v>33</v>
      </c>
      <c r="D63" s="37" t="s">
        <v>34</v>
      </c>
      <c r="E63" s="73" t="s">
        <v>85</v>
      </c>
      <c r="F63" s="76" t="s">
        <v>79</v>
      </c>
      <c r="G63" s="74" t="s">
        <v>93</v>
      </c>
      <c r="H63" s="74">
        <v>13</v>
      </c>
      <c r="I63" s="74"/>
      <c r="J63" s="74"/>
    </row>
    <row r="64" spans="1:10" x14ac:dyDescent="0.25">
      <c r="A64" s="34">
        <v>42262</v>
      </c>
      <c r="B64" s="35">
        <v>0.39583333333333331</v>
      </c>
      <c r="C64" s="36" t="s">
        <v>24</v>
      </c>
      <c r="D64" s="37" t="s">
        <v>13</v>
      </c>
      <c r="E64" s="23" t="s">
        <v>14</v>
      </c>
      <c r="F64" s="38" t="s">
        <v>27</v>
      </c>
      <c r="G64" s="39" t="s">
        <v>62</v>
      </c>
      <c r="H64" s="37">
        <v>22</v>
      </c>
      <c r="I64" s="22"/>
      <c r="J64" s="22"/>
    </row>
    <row r="65" spans="1:10" x14ac:dyDescent="0.25">
      <c r="A65" s="34">
        <v>42262</v>
      </c>
      <c r="B65" s="35">
        <v>0.52083333333333337</v>
      </c>
      <c r="C65" s="36" t="s">
        <v>17</v>
      </c>
      <c r="D65" s="37" t="s">
        <v>13</v>
      </c>
      <c r="E65" s="23" t="s">
        <v>14</v>
      </c>
      <c r="F65" s="38" t="s">
        <v>27</v>
      </c>
      <c r="G65" s="39" t="s">
        <v>62</v>
      </c>
      <c r="H65" s="37">
        <v>22</v>
      </c>
      <c r="I65" s="22"/>
      <c r="J65" s="22"/>
    </row>
    <row r="66" spans="1:10" x14ac:dyDescent="0.25">
      <c r="A66" s="34">
        <v>42262</v>
      </c>
      <c r="B66" s="35">
        <v>0.58333333333333337</v>
      </c>
      <c r="C66" s="36" t="s">
        <v>31</v>
      </c>
      <c r="D66" s="37" t="s">
        <v>13</v>
      </c>
      <c r="E66" s="23" t="s">
        <v>14</v>
      </c>
      <c r="F66" s="38" t="s">
        <v>27</v>
      </c>
      <c r="G66" s="39" t="s">
        <v>62</v>
      </c>
      <c r="H66" s="37">
        <v>25</v>
      </c>
      <c r="I66" s="22"/>
      <c r="J66" s="22"/>
    </row>
    <row r="67" spans="1:10" x14ac:dyDescent="0.25">
      <c r="A67" s="34">
        <v>42262</v>
      </c>
      <c r="B67" s="35">
        <v>0.75</v>
      </c>
      <c r="C67" s="36" t="s">
        <v>20</v>
      </c>
      <c r="D67" s="37" t="s">
        <v>13</v>
      </c>
      <c r="E67" s="23" t="s">
        <v>14</v>
      </c>
      <c r="F67" s="38" t="s">
        <v>29</v>
      </c>
      <c r="G67" s="39" t="s">
        <v>63</v>
      </c>
      <c r="H67" s="37">
        <v>25</v>
      </c>
      <c r="I67" s="74"/>
      <c r="J67" s="74"/>
    </row>
    <row r="68" spans="1:10" x14ac:dyDescent="0.25">
      <c r="A68" s="34">
        <v>42263</v>
      </c>
      <c r="B68" s="35">
        <v>0.41666666666666669</v>
      </c>
      <c r="C68" s="36" t="s">
        <v>24</v>
      </c>
      <c r="D68" s="37" t="s">
        <v>13</v>
      </c>
      <c r="E68" s="23" t="s">
        <v>14</v>
      </c>
      <c r="F68" s="38" t="s">
        <v>64</v>
      </c>
      <c r="G68" s="39" t="s">
        <v>65</v>
      </c>
      <c r="H68" s="37">
        <v>25</v>
      </c>
      <c r="I68" s="22"/>
      <c r="J68" s="22"/>
    </row>
    <row r="69" spans="1:10" x14ac:dyDescent="0.25">
      <c r="A69" s="34">
        <v>42263</v>
      </c>
      <c r="B69" s="35">
        <v>0.67708333333333337</v>
      </c>
      <c r="C69" s="36" t="s">
        <v>31</v>
      </c>
      <c r="D69" s="37" t="s">
        <v>13</v>
      </c>
      <c r="E69" s="23" t="s">
        <v>14</v>
      </c>
      <c r="F69" s="38" t="s">
        <v>29</v>
      </c>
      <c r="G69" s="39" t="s">
        <v>66</v>
      </c>
      <c r="H69" s="37">
        <v>25</v>
      </c>
      <c r="I69" s="22"/>
      <c r="J69" s="22"/>
    </row>
    <row r="70" spans="1:10" x14ac:dyDescent="0.25">
      <c r="A70" s="34">
        <v>42263</v>
      </c>
      <c r="B70" s="35">
        <v>0.70833333333333337</v>
      </c>
      <c r="C70" s="36" t="s">
        <v>26</v>
      </c>
      <c r="D70" s="37" t="s">
        <v>13</v>
      </c>
      <c r="E70" s="23" t="s">
        <v>14</v>
      </c>
      <c r="F70" s="38" t="s">
        <v>23</v>
      </c>
      <c r="G70" s="39"/>
      <c r="H70" s="37">
        <v>12</v>
      </c>
      <c r="I70" s="74"/>
      <c r="J70" s="74"/>
    </row>
    <row r="71" spans="1:10" x14ac:dyDescent="0.25">
      <c r="A71" s="41">
        <v>42264</v>
      </c>
      <c r="B71" s="42">
        <v>0.33333333333333331</v>
      </c>
      <c r="C71" s="37" t="s">
        <v>20</v>
      </c>
      <c r="D71" s="37" t="s">
        <v>13</v>
      </c>
      <c r="E71" s="37" t="s">
        <v>14</v>
      </c>
      <c r="F71" s="37" t="s">
        <v>27</v>
      </c>
      <c r="G71" s="40" t="s">
        <v>62</v>
      </c>
      <c r="H71" s="37">
        <v>22</v>
      </c>
      <c r="I71" s="74"/>
      <c r="J71" s="74"/>
    </row>
    <row r="72" spans="1:10" x14ac:dyDescent="0.25">
      <c r="A72" s="70">
        <v>42264</v>
      </c>
      <c r="B72" s="71">
        <v>0.54166666666666663</v>
      </c>
      <c r="C72" s="2" t="s">
        <v>36</v>
      </c>
      <c r="D72" s="37" t="s">
        <v>44</v>
      </c>
      <c r="E72" s="2" t="s">
        <v>39</v>
      </c>
      <c r="F72" s="38" t="s">
        <v>23</v>
      </c>
      <c r="G72" s="1"/>
      <c r="H72" s="1">
        <v>6</v>
      </c>
      <c r="I72" s="22"/>
      <c r="J72" s="22"/>
    </row>
    <row r="73" spans="1:10" x14ac:dyDescent="0.25">
      <c r="A73" s="34">
        <v>42264</v>
      </c>
      <c r="B73" s="35">
        <v>0.54166666666666663</v>
      </c>
      <c r="C73" s="36" t="s">
        <v>17</v>
      </c>
      <c r="D73" s="37" t="s">
        <v>13</v>
      </c>
      <c r="E73" s="23" t="s">
        <v>14</v>
      </c>
      <c r="F73" s="38" t="s">
        <v>23</v>
      </c>
      <c r="G73" s="23"/>
      <c r="H73" s="37">
        <v>3</v>
      </c>
      <c r="I73" s="22"/>
      <c r="J73" s="22"/>
    </row>
    <row r="74" spans="1:10" x14ac:dyDescent="0.25">
      <c r="A74" s="70">
        <v>42264</v>
      </c>
      <c r="B74" s="71">
        <v>0.58333333333333337</v>
      </c>
      <c r="C74" s="2" t="s">
        <v>36</v>
      </c>
      <c r="D74" s="37" t="s">
        <v>44</v>
      </c>
      <c r="E74" s="2" t="s">
        <v>80</v>
      </c>
      <c r="F74" s="38" t="s">
        <v>79</v>
      </c>
      <c r="G74" s="2" t="s">
        <v>75</v>
      </c>
      <c r="H74" s="72">
        <v>25</v>
      </c>
      <c r="I74" s="74"/>
      <c r="J74" s="74"/>
    </row>
    <row r="75" spans="1:10" x14ac:dyDescent="0.25">
      <c r="A75" s="70">
        <v>42264</v>
      </c>
      <c r="B75" s="71">
        <v>0.625</v>
      </c>
      <c r="C75" s="2" t="s">
        <v>36</v>
      </c>
      <c r="D75" s="37" t="s">
        <v>44</v>
      </c>
      <c r="E75" s="2" t="s">
        <v>39</v>
      </c>
      <c r="F75" s="38" t="s">
        <v>23</v>
      </c>
      <c r="G75" s="1"/>
      <c r="H75" s="1">
        <v>10</v>
      </c>
      <c r="I75" s="74"/>
      <c r="J75" s="74"/>
    </row>
    <row r="76" spans="1:10" x14ac:dyDescent="0.25">
      <c r="A76" s="70">
        <v>42264</v>
      </c>
      <c r="B76" s="71">
        <v>0.66666666666666663</v>
      </c>
      <c r="C76" s="2" t="s">
        <v>36</v>
      </c>
      <c r="D76" s="37" t="s">
        <v>44</v>
      </c>
      <c r="E76" s="2" t="s">
        <v>80</v>
      </c>
      <c r="F76" s="38" t="s">
        <v>79</v>
      </c>
      <c r="G76" s="2" t="s">
        <v>75</v>
      </c>
      <c r="H76" s="72">
        <v>25</v>
      </c>
      <c r="I76" s="74"/>
      <c r="J76" s="74"/>
    </row>
    <row r="77" spans="1:10" x14ac:dyDescent="0.25">
      <c r="A77" s="34">
        <v>42264</v>
      </c>
      <c r="B77" s="35">
        <v>0.73958333333333337</v>
      </c>
      <c r="C77" s="36" t="s">
        <v>12</v>
      </c>
      <c r="D77" s="37" t="s">
        <v>13</v>
      </c>
      <c r="E77" s="23" t="s">
        <v>14</v>
      </c>
      <c r="F77" s="38" t="s">
        <v>67</v>
      </c>
      <c r="G77" s="39" t="s">
        <v>68</v>
      </c>
      <c r="H77" s="23">
        <v>20</v>
      </c>
      <c r="I77" s="74"/>
      <c r="J77" s="74"/>
    </row>
    <row r="78" spans="1:10" x14ac:dyDescent="0.25">
      <c r="A78" s="70">
        <v>42264</v>
      </c>
      <c r="B78" s="71">
        <v>0.75</v>
      </c>
      <c r="C78" s="2" t="s">
        <v>36</v>
      </c>
      <c r="D78" s="37" t="s">
        <v>44</v>
      </c>
      <c r="E78" s="2" t="s">
        <v>81</v>
      </c>
      <c r="F78" s="38" t="s">
        <v>79</v>
      </c>
      <c r="G78" s="2" t="s">
        <v>75</v>
      </c>
      <c r="H78" s="72">
        <v>25</v>
      </c>
      <c r="I78" s="74"/>
      <c r="J78" s="74"/>
    </row>
    <row r="79" spans="1:10" x14ac:dyDescent="0.25">
      <c r="A79" s="34">
        <v>42265</v>
      </c>
      <c r="B79" s="35">
        <v>0.375</v>
      </c>
      <c r="C79" s="36" t="s">
        <v>12</v>
      </c>
      <c r="D79" s="37" t="s">
        <v>13</v>
      </c>
      <c r="E79" s="23" t="s">
        <v>14</v>
      </c>
      <c r="F79" s="38" t="s">
        <v>61</v>
      </c>
      <c r="G79" s="39" t="s">
        <v>60</v>
      </c>
      <c r="H79" s="23">
        <v>15</v>
      </c>
      <c r="I79" s="74"/>
      <c r="J79" s="74"/>
    </row>
    <row r="80" spans="1:10" x14ac:dyDescent="0.25">
      <c r="A80" s="75">
        <v>42268</v>
      </c>
      <c r="B80" s="9">
        <v>0.52083333333333337</v>
      </c>
      <c r="C80" s="74" t="s">
        <v>33</v>
      </c>
      <c r="D80" s="37" t="s">
        <v>34</v>
      </c>
      <c r="E80" s="73" t="s">
        <v>88</v>
      </c>
      <c r="F80" s="76" t="s">
        <v>94</v>
      </c>
      <c r="G80" s="74" t="s">
        <v>95</v>
      </c>
      <c r="H80" s="74">
        <v>15</v>
      </c>
      <c r="I80" s="74"/>
      <c r="J80" s="74"/>
    </row>
    <row r="81" spans="1:10" x14ac:dyDescent="0.25">
      <c r="A81" s="34">
        <v>42268</v>
      </c>
      <c r="B81" s="35">
        <v>0.75</v>
      </c>
      <c r="C81" s="36" t="s">
        <v>31</v>
      </c>
      <c r="D81" s="37" t="s">
        <v>13</v>
      </c>
      <c r="E81" s="23" t="s">
        <v>14</v>
      </c>
      <c r="F81" s="38" t="s">
        <v>78</v>
      </c>
      <c r="G81" s="39" t="s">
        <v>69</v>
      </c>
      <c r="H81" s="37">
        <v>25</v>
      </c>
      <c r="I81" s="19"/>
      <c r="J81" s="19"/>
    </row>
    <row r="82" spans="1:10" x14ac:dyDescent="0.25">
      <c r="A82" s="75">
        <v>42269</v>
      </c>
      <c r="B82" s="9">
        <v>0.45833333333333331</v>
      </c>
      <c r="C82" s="74" t="s">
        <v>33</v>
      </c>
      <c r="D82" s="37" t="s">
        <v>34</v>
      </c>
      <c r="E82" s="74" t="s">
        <v>35</v>
      </c>
      <c r="F82" s="76" t="s">
        <v>23</v>
      </c>
      <c r="G82" s="74"/>
      <c r="H82" s="74">
        <v>1</v>
      </c>
      <c r="I82" s="74"/>
      <c r="J82" s="74"/>
    </row>
    <row r="83" spans="1:10" x14ac:dyDescent="0.25">
      <c r="A83" s="34">
        <v>42269</v>
      </c>
      <c r="B83" s="35">
        <v>0.45833333333333331</v>
      </c>
      <c r="C83" s="36" t="s">
        <v>20</v>
      </c>
      <c r="D83" s="37" t="s">
        <v>13</v>
      </c>
      <c r="E83" s="23" t="s">
        <v>14</v>
      </c>
      <c r="F83" s="38" t="s">
        <v>29</v>
      </c>
      <c r="G83" s="39" t="s">
        <v>209</v>
      </c>
      <c r="H83" s="37">
        <v>25</v>
      </c>
      <c r="I83" s="74"/>
      <c r="J83" s="74"/>
    </row>
    <row r="84" spans="1:10" x14ac:dyDescent="0.25">
      <c r="A84" s="34">
        <v>42269</v>
      </c>
      <c r="B84" s="35">
        <v>0.64583333333333337</v>
      </c>
      <c r="C84" s="36" t="s">
        <v>17</v>
      </c>
      <c r="D84" s="37" t="s">
        <v>13</v>
      </c>
      <c r="E84" s="23" t="s">
        <v>14</v>
      </c>
      <c r="F84" s="38" t="s">
        <v>27</v>
      </c>
      <c r="G84" s="39" t="s">
        <v>70</v>
      </c>
      <c r="H84" s="37">
        <v>25</v>
      </c>
      <c r="I84" s="74"/>
      <c r="J84" s="74"/>
    </row>
    <row r="85" spans="1:10" x14ac:dyDescent="0.25">
      <c r="A85" s="34">
        <v>42269</v>
      </c>
      <c r="B85" s="35">
        <v>0.70833333333333337</v>
      </c>
      <c r="C85" s="36" t="s">
        <v>26</v>
      </c>
      <c r="D85" s="37" t="s">
        <v>13</v>
      </c>
      <c r="E85" s="23" t="s">
        <v>14</v>
      </c>
      <c r="F85" s="38" t="s">
        <v>71</v>
      </c>
      <c r="G85" s="39" t="s">
        <v>72</v>
      </c>
      <c r="H85" s="37">
        <v>25</v>
      </c>
      <c r="I85" s="74"/>
      <c r="J85" s="74"/>
    </row>
    <row r="86" spans="1:10" x14ac:dyDescent="0.25">
      <c r="A86" s="75">
        <v>42270</v>
      </c>
      <c r="B86" s="9">
        <v>0.52083333333333337</v>
      </c>
      <c r="C86" s="74" t="s">
        <v>33</v>
      </c>
      <c r="D86" s="37" t="s">
        <v>34</v>
      </c>
      <c r="E86" s="73" t="s">
        <v>88</v>
      </c>
      <c r="F86" s="76" t="s">
        <v>79</v>
      </c>
      <c r="G86" s="74" t="s">
        <v>95</v>
      </c>
      <c r="H86" s="74">
        <v>23</v>
      </c>
      <c r="I86" s="74"/>
      <c r="J86" s="74"/>
    </row>
    <row r="87" spans="1:10" x14ac:dyDescent="0.25">
      <c r="A87" s="34">
        <v>42270</v>
      </c>
      <c r="B87" s="35">
        <v>0.52083333333333337</v>
      </c>
      <c r="C87" s="36" t="s">
        <v>20</v>
      </c>
      <c r="D87" s="37" t="s">
        <v>13</v>
      </c>
      <c r="E87" s="23" t="s">
        <v>14</v>
      </c>
      <c r="F87" s="38" t="s">
        <v>71</v>
      </c>
      <c r="G87" s="39" t="s">
        <v>72</v>
      </c>
      <c r="H87" s="37">
        <v>15</v>
      </c>
      <c r="I87" s="19"/>
      <c r="J87" s="19"/>
    </row>
    <row r="88" spans="1:10" x14ac:dyDescent="0.25">
      <c r="A88" s="34">
        <v>42270</v>
      </c>
      <c r="B88" s="35">
        <v>0.70833333333333337</v>
      </c>
      <c r="C88" s="36" t="s">
        <v>24</v>
      </c>
      <c r="D88" s="37" t="s">
        <v>13</v>
      </c>
      <c r="E88" s="23" t="s">
        <v>14</v>
      </c>
      <c r="F88" s="38" t="s">
        <v>22</v>
      </c>
      <c r="G88" s="39" t="s">
        <v>21</v>
      </c>
      <c r="H88" s="23">
        <v>25</v>
      </c>
      <c r="I88" s="74"/>
      <c r="J88" s="74"/>
    </row>
    <row r="89" spans="1:10" x14ac:dyDescent="0.25">
      <c r="A89" s="34">
        <v>42271</v>
      </c>
      <c r="B89" s="35">
        <v>0.45833333333333331</v>
      </c>
      <c r="C89" s="36" t="s">
        <v>17</v>
      </c>
      <c r="D89" s="37" t="s">
        <v>13</v>
      </c>
      <c r="E89" s="23" t="s">
        <v>73</v>
      </c>
      <c r="F89" s="38" t="s">
        <v>29</v>
      </c>
      <c r="G89" s="39" t="s">
        <v>209</v>
      </c>
      <c r="H89" s="37">
        <v>25</v>
      </c>
      <c r="I89" s="18"/>
      <c r="J89" s="74"/>
    </row>
    <row r="90" spans="1:10" x14ac:dyDescent="0.25">
      <c r="A90" s="70">
        <v>42271</v>
      </c>
      <c r="B90" s="71">
        <v>0.52083333333333337</v>
      </c>
      <c r="C90" s="2" t="s">
        <v>36</v>
      </c>
      <c r="D90" s="37" t="s">
        <v>44</v>
      </c>
      <c r="E90" s="2" t="s">
        <v>37</v>
      </c>
      <c r="F90" s="2" t="s">
        <v>57</v>
      </c>
      <c r="G90" s="2" t="s">
        <v>38</v>
      </c>
      <c r="H90" s="72">
        <v>25</v>
      </c>
      <c r="I90" s="22"/>
      <c r="J90" s="74"/>
    </row>
    <row r="91" spans="1:10" x14ac:dyDescent="0.25">
      <c r="A91" s="34">
        <v>42271</v>
      </c>
      <c r="B91" s="35">
        <v>0.5625</v>
      </c>
      <c r="C91" s="36" t="s">
        <v>12</v>
      </c>
      <c r="D91" s="37" t="s">
        <v>13</v>
      </c>
      <c r="E91" s="23" t="s">
        <v>14</v>
      </c>
      <c r="F91" s="38" t="s">
        <v>22</v>
      </c>
      <c r="G91" s="39" t="s">
        <v>21</v>
      </c>
      <c r="H91" s="37">
        <v>20</v>
      </c>
      <c r="I91" s="22"/>
      <c r="J91" s="22"/>
    </row>
    <row r="92" spans="1:10" x14ac:dyDescent="0.25">
      <c r="A92" s="70">
        <v>42271</v>
      </c>
      <c r="B92" s="71">
        <v>0.58333333333333337</v>
      </c>
      <c r="C92" s="2" t="s">
        <v>36</v>
      </c>
      <c r="D92" s="37" t="s">
        <v>44</v>
      </c>
      <c r="E92" s="2" t="s">
        <v>37</v>
      </c>
      <c r="F92" s="2" t="s">
        <v>27</v>
      </c>
      <c r="G92" s="2" t="s">
        <v>82</v>
      </c>
      <c r="H92" s="72">
        <v>25</v>
      </c>
      <c r="I92" s="74"/>
      <c r="J92" s="74"/>
    </row>
    <row r="93" spans="1:10" x14ac:dyDescent="0.25">
      <c r="A93" s="34">
        <v>42271</v>
      </c>
      <c r="B93" s="35">
        <v>0.66666666666666663</v>
      </c>
      <c r="C93" s="36" t="s">
        <v>20</v>
      </c>
      <c r="D93" s="37" t="s">
        <v>13</v>
      </c>
      <c r="E93" s="23" t="s">
        <v>14</v>
      </c>
      <c r="F93" s="38" t="s">
        <v>22</v>
      </c>
      <c r="G93" s="39" t="s">
        <v>21</v>
      </c>
      <c r="H93" s="37">
        <v>20</v>
      </c>
      <c r="I93" s="74"/>
      <c r="J93" s="74"/>
    </row>
    <row r="94" spans="1:10" x14ac:dyDescent="0.25">
      <c r="A94" s="70">
        <v>42271</v>
      </c>
      <c r="B94" s="71">
        <v>0.75</v>
      </c>
      <c r="C94" s="2" t="s">
        <v>36</v>
      </c>
      <c r="D94" s="37" t="s">
        <v>44</v>
      </c>
      <c r="E94" s="2" t="s">
        <v>37</v>
      </c>
      <c r="F94" s="2" t="s">
        <v>27</v>
      </c>
      <c r="G94" s="2" t="s">
        <v>38</v>
      </c>
      <c r="H94" s="72">
        <v>25</v>
      </c>
      <c r="I94" s="74"/>
      <c r="J94" s="74"/>
    </row>
    <row r="95" spans="1:10" x14ac:dyDescent="0.25">
      <c r="A95" s="34">
        <v>42275</v>
      </c>
      <c r="B95" s="35">
        <v>0.33333333333333331</v>
      </c>
      <c r="C95" s="36" t="s">
        <v>20</v>
      </c>
      <c r="D95" s="37" t="s">
        <v>13</v>
      </c>
      <c r="E95" s="23" t="s">
        <v>14</v>
      </c>
      <c r="F95" s="38" t="s">
        <v>27</v>
      </c>
      <c r="G95" s="39" t="s">
        <v>74</v>
      </c>
      <c r="H95" s="23">
        <v>20</v>
      </c>
      <c r="I95" s="74"/>
      <c r="J95" s="74"/>
    </row>
    <row r="96" spans="1:10" x14ac:dyDescent="0.25">
      <c r="A96" s="70">
        <v>42275</v>
      </c>
      <c r="B96" s="71">
        <v>0.58333333333333337</v>
      </c>
      <c r="C96" s="2" t="s">
        <v>36</v>
      </c>
      <c r="D96" s="37" t="s">
        <v>44</v>
      </c>
      <c r="E96" s="2" t="s">
        <v>37</v>
      </c>
      <c r="F96" s="2" t="s">
        <v>27</v>
      </c>
      <c r="G96" s="2" t="s">
        <v>83</v>
      </c>
      <c r="H96" s="72">
        <v>25</v>
      </c>
      <c r="I96" s="74"/>
      <c r="J96" s="74"/>
    </row>
    <row r="97" spans="1:10" x14ac:dyDescent="0.25">
      <c r="A97" s="70">
        <v>42275</v>
      </c>
      <c r="B97" s="71">
        <v>0.64583333333333337</v>
      </c>
      <c r="C97" s="2" t="s">
        <v>36</v>
      </c>
      <c r="D97" s="37" t="s">
        <v>44</v>
      </c>
      <c r="E97" s="2" t="s">
        <v>37</v>
      </c>
      <c r="F97" s="2" t="s">
        <v>27</v>
      </c>
      <c r="G97" s="2" t="s">
        <v>83</v>
      </c>
      <c r="H97" s="72">
        <v>25</v>
      </c>
      <c r="I97" s="22"/>
      <c r="J97" s="22"/>
    </row>
    <row r="98" spans="1:10" x14ac:dyDescent="0.25">
      <c r="A98" s="34">
        <v>42275</v>
      </c>
      <c r="B98" s="35">
        <v>0.72916666666666663</v>
      </c>
      <c r="C98" s="36" t="s">
        <v>17</v>
      </c>
      <c r="D98" s="37" t="s">
        <v>13</v>
      </c>
      <c r="E98" s="23" t="s">
        <v>14</v>
      </c>
      <c r="F98" s="38" t="s">
        <v>79</v>
      </c>
      <c r="G98" s="39" t="s">
        <v>75</v>
      </c>
      <c r="H98" s="23">
        <v>25</v>
      </c>
      <c r="I98" s="74"/>
      <c r="J98" s="22"/>
    </row>
    <row r="99" spans="1:10" x14ac:dyDescent="0.25">
      <c r="A99" s="34">
        <v>42276</v>
      </c>
      <c r="B99" s="35">
        <v>0.33333333333333331</v>
      </c>
      <c r="C99" s="36" t="s">
        <v>12</v>
      </c>
      <c r="D99" s="37" t="s">
        <v>13</v>
      </c>
      <c r="E99" s="23" t="s">
        <v>14</v>
      </c>
      <c r="F99" s="38" t="s">
        <v>27</v>
      </c>
      <c r="G99" s="39" t="s">
        <v>74</v>
      </c>
      <c r="H99" s="37">
        <v>22</v>
      </c>
      <c r="I99" s="21"/>
      <c r="J99" s="19"/>
    </row>
    <row r="100" spans="1:10" x14ac:dyDescent="0.25">
      <c r="A100" s="70">
        <v>42276</v>
      </c>
      <c r="B100" s="71">
        <v>0.39583333333333331</v>
      </c>
      <c r="C100" s="2" t="s">
        <v>36</v>
      </c>
      <c r="D100" s="37" t="s">
        <v>44</v>
      </c>
      <c r="E100" s="2" t="s">
        <v>37</v>
      </c>
      <c r="F100" s="2" t="s">
        <v>27</v>
      </c>
      <c r="G100" s="2" t="s">
        <v>83</v>
      </c>
      <c r="H100" s="72">
        <v>25</v>
      </c>
      <c r="I100" s="74"/>
      <c r="J100" s="22"/>
    </row>
    <row r="101" spans="1:10" s="3" customFormat="1" x14ac:dyDescent="0.25">
      <c r="A101" s="70">
        <v>42276</v>
      </c>
      <c r="B101" s="71">
        <v>0.45833333333333331</v>
      </c>
      <c r="C101" s="2" t="s">
        <v>36</v>
      </c>
      <c r="D101" s="37" t="s">
        <v>44</v>
      </c>
      <c r="E101" s="2" t="s">
        <v>37</v>
      </c>
      <c r="F101" s="2" t="s">
        <v>27</v>
      </c>
      <c r="G101" s="2" t="s">
        <v>83</v>
      </c>
      <c r="H101" s="72">
        <v>25</v>
      </c>
      <c r="I101" s="74"/>
      <c r="J101" s="74"/>
    </row>
    <row r="102" spans="1:10" x14ac:dyDescent="0.25">
      <c r="A102" s="70">
        <v>42276</v>
      </c>
      <c r="B102" s="71">
        <v>0.52083333333333337</v>
      </c>
      <c r="C102" s="2" t="s">
        <v>36</v>
      </c>
      <c r="D102" s="37" t="s">
        <v>44</v>
      </c>
      <c r="E102" s="2" t="s">
        <v>37</v>
      </c>
      <c r="F102" s="2" t="s">
        <v>27</v>
      </c>
      <c r="G102" s="2" t="s">
        <v>83</v>
      </c>
      <c r="H102" s="72">
        <v>25</v>
      </c>
      <c r="I102" s="19"/>
      <c r="J102" s="19"/>
    </row>
    <row r="103" spans="1:10" x14ac:dyDescent="0.25">
      <c r="A103" s="70">
        <v>42276</v>
      </c>
      <c r="B103" s="71">
        <v>0.75</v>
      </c>
      <c r="C103" s="2" t="s">
        <v>84</v>
      </c>
      <c r="D103" s="37" t="s">
        <v>44</v>
      </c>
      <c r="E103" s="2" t="s">
        <v>37</v>
      </c>
      <c r="F103" s="2" t="s">
        <v>27</v>
      </c>
      <c r="G103" s="2" t="s">
        <v>83</v>
      </c>
      <c r="H103" s="72">
        <v>25</v>
      </c>
      <c r="I103" s="21"/>
      <c r="J103" s="19"/>
    </row>
    <row r="104" spans="1:10" x14ac:dyDescent="0.25">
      <c r="A104" s="41">
        <v>42276</v>
      </c>
      <c r="B104" s="43">
        <v>0.89583333333333337</v>
      </c>
      <c r="C104" s="37" t="s">
        <v>26</v>
      </c>
      <c r="D104" s="37" t="s">
        <v>13</v>
      </c>
      <c r="E104" s="37" t="s">
        <v>14</v>
      </c>
      <c r="F104" s="38" t="s">
        <v>27</v>
      </c>
      <c r="G104" s="37" t="s">
        <v>74</v>
      </c>
      <c r="H104" s="69">
        <v>12</v>
      </c>
      <c r="I104" s="22"/>
      <c r="J104" s="74"/>
    </row>
    <row r="105" spans="1:10" x14ac:dyDescent="0.25">
      <c r="A105" s="34">
        <v>42277</v>
      </c>
      <c r="B105" s="35">
        <v>0.375</v>
      </c>
      <c r="C105" s="36" t="s">
        <v>24</v>
      </c>
      <c r="D105" s="37" t="s">
        <v>13</v>
      </c>
      <c r="E105" s="23" t="s">
        <v>14</v>
      </c>
      <c r="F105" s="38" t="s">
        <v>76</v>
      </c>
      <c r="G105" s="39" t="s">
        <v>77</v>
      </c>
      <c r="H105" s="37">
        <v>20</v>
      </c>
      <c r="I105" s="21"/>
      <c r="J105" s="19"/>
    </row>
    <row r="106" spans="1:10" x14ac:dyDescent="0.25">
      <c r="A106" s="34">
        <v>42277</v>
      </c>
      <c r="B106" s="35">
        <v>0.5</v>
      </c>
      <c r="C106" s="36" t="s">
        <v>31</v>
      </c>
      <c r="D106" s="37" t="s">
        <v>13</v>
      </c>
      <c r="E106" s="23" t="s">
        <v>14</v>
      </c>
      <c r="F106" s="38" t="s">
        <v>76</v>
      </c>
      <c r="G106" s="39" t="s">
        <v>77</v>
      </c>
      <c r="H106" s="37">
        <v>25</v>
      </c>
      <c r="I106" s="22"/>
      <c r="J106" s="22"/>
    </row>
    <row r="107" spans="1:10" x14ac:dyDescent="0.25">
      <c r="A107" s="70">
        <v>42277</v>
      </c>
      <c r="B107" s="71">
        <v>0.52083333333333337</v>
      </c>
      <c r="C107" s="2" t="s">
        <v>36</v>
      </c>
      <c r="D107" s="37" t="s">
        <v>44</v>
      </c>
      <c r="E107" s="2" t="s">
        <v>37</v>
      </c>
      <c r="F107" s="2" t="s">
        <v>27</v>
      </c>
      <c r="G107" s="2" t="s">
        <v>82</v>
      </c>
      <c r="H107" s="72">
        <v>25</v>
      </c>
      <c r="I107" s="74"/>
      <c r="J107" s="74"/>
    </row>
    <row r="108" spans="1:10" x14ac:dyDescent="0.25">
      <c r="A108" s="70">
        <v>42277</v>
      </c>
      <c r="B108" s="71">
        <v>0.625</v>
      </c>
      <c r="C108" s="2" t="s">
        <v>36</v>
      </c>
      <c r="D108" s="37" t="s">
        <v>44</v>
      </c>
      <c r="E108" s="2" t="s">
        <v>37</v>
      </c>
      <c r="F108" s="2" t="s">
        <v>27</v>
      </c>
      <c r="G108" s="2" t="s">
        <v>82</v>
      </c>
      <c r="H108" s="72">
        <v>25</v>
      </c>
      <c r="I108" s="22"/>
      <c r="J108" s="22"/>
    </row>
    <row r="109" spans="1:10" ht="16.5" x14ac:dyDescent="0.3">
      <c r="A109" s="45">
        <v>42278</v>
      </c>
      <c r="B109" s="43">
        <v>0.3125</v>
      </c>
      <c r="C109" s="37" t="s">
        <v>20</v>
      </c>
      <c r="D109" s="37" t="s">
        <v>13</v>
      </c>
      <c r="E109" s="37" t="s">
        <v>14</v>
      </c>
      <c r="F109" s="37" t="s">
        <v>29</v>
      </c>
      <c r="G109" s="37" t="s">
        <v>96</v>
      </c>
      <c r="H109" s="44">
        <v>20</v>
      </c>
      <c r="I109" s="78"/>
      <c r="J109" s="77"/>
    </row>
    <row r="110" spans="1:10" x14ac:dyDescent="0.25">
      <c r="A110" s="45">
        <v>42278</v>
      </c>
      <c r="B110" s="43">
        <v>0.39583333333333331</v>
      </c>
      <c r="C110" s="37" t="s">
        <v>20</v>
      </c>
      <c r="D110" s="37" t="s">
        <v>13</v>
      </c>
      <c r="E110" s="37" t="s">
        <v>14</v>
      </c>
      <c r="F110" s="37" t="s">
        <v>98</v>
      </c>
      <c r="G110" s="37" t="s">
        <v>97</v>
      </c>
      <c r="H110" s="44">
        <v>20</v>
      </c>
      <c r="I110" s="21"/>
      <c r="J110" s="19"/>
    </row>
    <row r="111" spans="1:10" x14ac:dyDescent="0.25">
      <c r="A111" s="45">
        <v>42278</v>
      </c>
      <c r="B111" s="43">
        <v>0.45833333333333331</v>
      </c>
      <c r="C111" s="37" t="s">
        <v>26</v>
      </c>
      <c r="D111" s="37" t="s">
        <v>13</v>
      </c>
      <c r="E111" s="37" t="s">
        <v>14</v>
      </c>
      <c r="F111" s="37" t="s">
        <v>64</v>
      </c>
      <c r="G111" s="37" t="s">
        <v>77</v>
      </c>
      <c r="H111" s="44">
        <v>25</v>
      </c>
      <c r="I111" s="21"/>
      <c r="J111" s="19"/>
    </row>
    <row r="112" spans="1:10" x14ac:dyDescent="0.25">
      <c r="A112" s="80">
        <v>42278</v>
      </c>
      <c r="B112" s="81">
        <v>0.58333333333333337</v>
      </c>
      <c r="C112" s="82" t="s">
        <v>131</v>
      </c>
      <c r="D112" s="25" t="s">
        <v>44</v>
      </c>
      <c r="E112" s="82" t="s">
        <v>37</v>
      </c>
      <c r="F112" s="82" t="s">
        <v>27</v>
      </c>
      <c r="G112" s="83" t="s">
        <v>38</v>
      </c>
      <c r="H112" s="20">
        <v>25</v>
      </c>
      <c r="I112" s="21"/>
      <c r="J112" s="19"/>
    </row>
    <row r="113" spans="1:10" x14ac:dyDescent="0.25">
      <c r="A113" s="34">
        <v>42278</v>
      </c>
      <c r="B113" s="35">
        <v>0.58333333333333337</v>
      </c>
      <c r="C113" s="37" t="s">
        <v>17</v>
      </c>
      <c r="D113" s="37" t="s">
        <v>13</v>
      </c>
      <c r="E113" s="37" t="s">
        <v>14</v>
      </c>
      <c r="F113" s="38" t="s">
        <v>64</v>
      </c>
      <c r="G113" s="37" t="s">
        <v>77</v>
      </c>
      <c r="H113" s="44">
        <v>22</v>
      </c>
    </row>
    <row r="114" spans="1:10" x14ac:dyDescent="0.25">
      <c r="A114" s="75">
        <v>42282</v>
      </c>
      <c r="B114" s="9">
        <v>0.35416666666666669</v>
      </c>
      <c r="C114" s="36" t="s">
        <v>33</v>
      </c>
      <c r="D114" s="74" t="s">
        <v>34</v>
      </c>
      <c r="E114" s="74" t="s">
        <v>127</v>
      </c>
      <c r="F114" s="74" t="s">
        <v>29</v>
      </c>
      <c r="G114" s="74" t="s">
        <v>124</v>
      </c>
      <c r="H114" s="74">
        <v>24</v>
      </c>
      <c r="I114" s="74"/>
      <c r="J114" s="74"/>
    </row>
    <row r="115" spans="1:10" x14ac:dyDescent="0.25">
      <c r="A115" s="34">
        <v>42282</v>
      </c>
      <c r="B115" s="35">
        <v>0.375</v>
      </c>
      <c r="C115" s="36" t="s">
        <v>12</v>
      </c>
      <c r="D115" s="37" t="s">
        <v>13</v>
      </c>
      <c r="E115" s="37" t="s">
        <v>14</v>
      </c>
      <c r="F115" s="38" t="s">
        <v>29</v>
      </c>
      <c r="G115" s="39" t="s">
        <v>96</v>
      </c>
      <c r="H115" s="37">
        <v>22</v>
      </c>
      <c r="I115" s="74"/>
      <c r="J115" s="74"/>
    </row>
    <row r="116" spans="1:10" x14ac:dyDescent="0.25">
      <c r="A116" s="75">
        <v>42282</v>
      </c>
      <c r="B116" s="9">
        <v>0.41666666666666669</v>
      </c>
      <c r="C116" s="36" t="s">
        <v>33</v>
      </c>
      <c r="D116" s="74" t="s">
        <v>34</v>
      </c>
      <c r="E116" s="74" t="s">
        <v>127</v>
      </c>
      <c r="F116" s="74" t="s">
        <v>29</v>
      </c>
      <c r="G116" s="74" t="s">
        <v>124</v>
      </c>
      <c r="H116" s="74">
        <v>18</v>
      </c>
      <c r="I116" s="74"/>
      <c r="J116" s="74"/>
    </row>
    <row r="117" spans="1:10" x14ac:dyDescent="0.25">
      <c r="A117" s="34">
        <v>42282</v>
      </c>
      <c r="B117" s="35">
        <v>0.45833333333333331</v>
      </c>
      <c r="C117" s="36" t="s">
        <v>26</v>
      </c>
      <c r="D117" s="37" t="s">
        <v>13</v>
      </c>
      <c r="E117" s="37" t="s">
        <v>14</v>
      </c>
      <c r="F117" s="38" t="s">
        <v>27</v>
      </c>
      <c r="G117" s="39" t="s">
        <v>100</v>
      </c>
      <c r="H117" s="44">
        <v>22</v>
      </c>
      <c r="I117" s="74"/>
      <c r="J117" s="74"/>
    </row>
    <row r="118" spans="1:10" x14ac:dyDescent="0.25">
      <c r="A118" s="34">
        <v>42282</v>
      </c>
      <c r="B118" s="35">
        <v>0.5</v>
      </c>
      <c r="C118" s="37" t="s">
        <v>17</v>
      </c>
      <c r="D118" s="37" t="s">
        <v>13</v>
      </c>
      <c r="E118" s="37" t="s">
        <v>14</v>
      </c>
      <c r="F118" s="38" t="s">
        <v>27</v>
      </c>
      <c r="G118" s="37" t="s">
        <v>100</v>
      </c>
      <c r="H118" s="44">
        <v>20</v>
      </c>
      <c r="I118" s="21"/>
      <c r="J118" s="19"/>
    </row>
    <row r="119" spans="1:10" x14ac:dyDescent="0.25">
      <c r="A119" s="45">
        <v>42282</v>
      </c>
      <c r="B119" s="43">
        <v>0.54166666666666663</v>
      </c>
      <c r="C119" s="37" t="s">
        <v>24</v>
      </c>
      <c r="D119" s="37" t="s">
        <v>13</v>
      </c>
      <c r="E119" s="37" t="s">
        <v>14</v>
      </c>
      <c r="F119" s="37" t="s">
        <v>29</v>
      </c>
      <c r="G119" s="37" t="s">
        <v>99</v>
      </c>
      <c r="H119" s="44">
        <v>20</v>
      </c>
      <c r="I119" s="74"/>
      <c r="J119" s="74"/>
    </row>
    <row r="120" spans="1:10" ht="16.5" x14ac:dyDescent="0.3">
      <c r="A120" s="34">
        <v>42283</v>
      </c>
      <c r="B120" s="35">
        <v>0.34375</v>
      </c>
      <c r="C120" s="36" t="s">
        <v>20</v>
      </c>
      <c r="D120" s="37" t="s">
        <v>13</v>
      </c>
      <c r="E120" s="37" t="s">
        <v>14</v>
      </c>
      <c r="F120" s="38" t="s">
        <v>101</v>
      </c>
      <c r="G120" s="39" t="s">
        <v>102</v>
      </c>
      <c r="H120" s="44">
        <v>15</v>
      </c>
      <c r="I120" s="74"/>
      <c r="J120" s="78"/>
    </row>
    <row r="121" spans="1:10" x14ac:dyDescent="0.25">
      <c r="A121" s="75">
        <v>42283</v>
      </c>
      <c r="B121" s="9">
        <v>0.35416666666666669</v>
      </c>
      <c r="C121" s="36" t="s">
        <v>33</v>
      </c>
      <c r="D121" s="74" t="s">
        <v>34</v>
      </c>
      <c r="E121" s="74" t="s">
        <v>127</v>
      </c>
      <c r="F121" s="74" t="s">
        <v>29</v>
      </c>
      <c r="G121" s="74" t="s">
        <v>124</v>
      </c>
      <c r="H121" s="74">
        <v>22</v>
      </c>
      <c r="J121" s="74"/>
    </row>
    <row r="122" spans="1:10" x14ac:dyDescent="0.25">
      <c r="A122" s="34">
        <v>42283</v>
      </c>
      <c r="B122" s="35">
        <v>0.39583333333333331</v>
      </c>
      <c r="C122" s="36" t="s">
        <v>26</v>
      </c>
      <c r="D122" s="37" t="s">
        <v>13</v>
      </c>
      <c r="E122" s="37" t="s">
        <v>14</v>
      </c>
      <c r="F122" s="38" t="s">
        <v>64</v>
      </c>
      <c r="G122" s="39" t="s">
        <v>77</v>
      </c>
      <c r="H122" s="37">
        <v>25</v>
      </c>
      <c r="J122" s="74"/>
    </row>
    <row r="123" spans="1:10" x14ac:dyDescent="0.25">
      <c r="A123" s="45">
        <v>42283</v>
      </c>
      <c r="B123" s="43">
        <v>0.45833333333333331</v>
      </c>
      <c r="C123" s="37" t="s">
        <v>12</v>
      </c>
      <c r="D123" s="37" t="s">
        <v>13</v>
      </c>
      <c r="E123" s="37" t="s">
        <v>14</v>
      </c>
      <c r="F123" s="37" t="s">
        <v>103</v>
      </c>
      <c r="G123" s="37" t="s">
        <v>104</v>
      </c>
      <c r="H123" s="44">
        <v>25</v>
      </c>
      <c r="J123" s="74"/>
    </row>
    <row r="124" spans="1:10" x14ac:dyDescent="0.25">
      <c r="A124" s="80">
        <v>42283</v>
      </c>
      <c r="B124" s="81">
        <v>0.5</v>
      </c>
      <c r="C124" s="82" t="s">
        <v>131</v>
      </c>
      <c r="D124" s="25" t="s">
        <v>44</v>
      </c>
      <c r="E124" s="82" t="s">
        <v>132</v>
      </c>
      <c r="F124" s="82" t="s">
        <v>27</v>
      </c>
      <c r="G124" s="83" t="s">
        <v>133</v>
      </c>
      <c r="H124" s="20">
        <v>25</v>
      </c>
      <c r="I124" s="74"/>
      <c r="J124" s="74"/>
    </row>
    <row r="125" spans="1:10" x14ac:dyDescent="0.25">
      <c r="A125" s="75">
        <v>42283</v>
      </c>
      <c r="B125" s="9">
        <v>0.58333333333333337</v>
      </c>
      <c r="C125" s="36" t="s">
        <v>33</v>
      </c>
      <c r="D125" s="74" t="s">
        <v>34</v>
      </c>
      <c r="E125" s="74" t="s">
        <v>127</v>
      </c>
      <c r="F125" s="74" t="s">
        <v>29</v>
      </c>
      <c r="G125" s="74" t="s">
        <v>124</v>
      </c>
      <c r="H125" s="74">
        <v>25</v>
      </c>
      <c r="I125" s="74"/>
      <c r="J125" s="74"/>
    </row>
    <row r="126" spans="1:10" x14ac:dyDescent="0.25">
      <c r="A126" s="34">
        <v>42283</v>
      </c>
      <c r="B126" s="35">
        <v>0.625</v>
      </c>
      <c r="C126" s="37" t="s">
        <v>31</v>
      </c>
      <c r="D126" s="37" t="s">
        <v>13</v>
      </c>
      <c r="E126" s="37" t="s">
        <v>14</v>
      </c>
      <c r="F126" s="38" t="s">
        <v>29</v>
      </c>
      <c r="G126" s="37" t="s">
        <v>99</v>
      </c>
      <c r="H126" s="37">
        <v>20</v>
      </c>
      <c r="I126" s="21"/>
      <c r="J126" s="19"/>
    </row>
    <row r="127" spans="1:10" ht="16.5" x14ac:dyDescent="0.3">
      <c r="A127" s="80">
        <v>42284</v>
      </c>
      <c r="B127" s="81">
        <v>0.5</v>
      </c>
      <c r="C127" s="82" t="s">
        <v>131</v>
      </c>
      <c r="D127" s="25" t="s">
        <v>44</v>
      </c>
      <c r="E127" s="82" t="s">
        <v>134</v>
      </c>
      <c r="F127" s="82" t="s">
        <v>27</v>
      </c>
      <c r="G127" s="83" t="s">
        <v>133</v>
      </c>
      <c r="H127" s="20">
        <v>25</v>
      </c>
      <c r="J127" s="78"/>
    </row>
    <row r="128" spans="1:10" ht="16.5" x14ac:dyDescent="0.3">
      <c r="A128" s="34">
        <v>42284</v>
      </c>
      <c r="B128" s="35">
        <v>0.54166666666666663</v>
      </c>
      <c r="C128" s="36" t="s">
        <v>17</v>
      </c>
      <c r="D128" s="37" t="s">
        <v>13</v>
      </c>
      <c r="E128" s="37" t="s">
        <v>14</v>
      </c>
      <c r="F128" s="38" t="s">
        <v>27</v>
      </c>
      <c r="G128" s="39" t="s">
        <v>105</v>
      </c>
      <c r="H128" s="44">
        <v>25</v>
      </c>
      <c r="I128" s="74"/>
      <c r="J128" s="78"/>
    </row>
    <row r="129" spans="1:11" x14ac:dyDescent="0.25">
      <c r="A129" s="80">
        <v>42284</v>
      </c>
      <c r="B129" s="81">
        <v>0.60416666666666663</v>
      </c>
      <c r="C129" s="82" t="s">
        <v>131</v>
      </c>
      <c r="D129" s="25" t="s">
        <v>44</v>
      </c>
      <c r="E129" s="82" t="s">
        <v>135</v>
      </c>
      <c r="F129" s="82" t="s">
        <v>27</v>
      </c>
      <c r="G129" s="83" t="s">
        <v>133</v>
      </c>
      <c r="H129" s="20">
        <v>25</v>
      </c>
      <c r="I129" s="74"/>
      <c r="J129" s="74"/>
    </row>
    <row r="130" spans="1:11" x14ac:dyDescent="0.25">
      <c r="A130" s="34">
        <v>42284</v>
      </c>
      <c r="B130" s="35">
        <v>0.66666666666666663</v>
      </c>
      <c r="C130" s="36" t="s">
        <v>26</v>
      </c>
      <c r="D130" s="37" t="s">
        <v>13</v>
      </c>
      <c r="E130" s="37" t="s">
        <v>14</v>
      </c>
      <c r="F130" s="38" t="s">
        <v>27</v>
      </c>
      <c r="G130" s="39" t="s">
        <v>105</v>
      </c>
      <c r="H130" s="37">
        <v>22</v>
      </c>
      <c r="J130" s="74"/>
    </row>
    <row r="131" spans="1:11" x14ac:dyDescent="0.25">
      <c r="A131" s="34">
        <v>42284</v>
      </c>
      <c r="B131" s="35">
        <v>0.72916666666666663</v>
      </c>
      <c r="C131" s="36" t="s">
        <v>31</v>
      </c>
      <c r="D131" s="37" t="s">
        <v>13</v>
      </c>
      <c r="E131" s="37" t="s">
        <v>14</v>
      </c>
      <c r="F131" s="38" t="s">
        <v>27</v>
      </c>
      <c r="G131" s="39" t="s">
        <v>32</v>
      </c>
      <c r="H131" s="44">
        <v>25</v>
      </c>
    </row>
    <row r="132" spans="1:11" x14ac:dyDescent="0.25">
      <c r="A132" s="41">
        <v>42285</v>
      </c>
      <c r="B132" s="42">
        <v>2.0833333333333332E-2</v>
      </c>
      <c r="C132" s="46" t="s">
        <v>17</v>
      </c>
      <c r="D132" s="37" t="s">
        <v>13</v>
      </c>
      <c r="E132" s="37" t="s">
        <v>14</v>
      </c>
      <c r="F132" s="37" t="s">
        <v>106</v>
      </c>
      <c r="G132" s="40" t="s">
        <v>209</v>
      </c>
      <c r="H132" s="37">
        <v>25</v>
      </c>
      <c r="J132" s="74"/>
    </row>
    <row r="133" spans="1:11" x14ac:dyDescent="0.25">
      <c r="A133" s="75">
        <v>42285</v>
      </c>
      <c r="B133" s="9">
        <v>0.33333333333333331</v>
      </c>
      <c r="C133" s="36" t="s">
        <v>33</v>
      </c>
      <c r="D133" s="74" t="s">
        <v>34</v>
      </c>
      <c r="E133" s="74" t="s">
        <v>130</v>
      </c>
      <c r="F133" s="74" t="s">
        <v>27</v>
      </c>
      <c r="G133" s="74" t="s">
        <v>125</v>
      </c>
      <c r="H133" s="74">
        <v>23</v>
      </c>
      <c r="I133" s="74"/>
      <c r="J133" s="74"/>
    </row>
    <row r="134" spans="1:11" x14ac:dyDescent="0.25">
      <c r="A134" s="34">
        <v>42285</v>
      </c>
      <c r="B134" s="35">
        <v>0.39583333333333331</v>
      </c>
      <c r="C134" s="36" t="s">
        <v>12</v>
      </c>
      <c r="D134" s="37" t="s">
        <v>13</v>
      </c>
      <c r="E134" s="37" t="s">
        <v>14</v>
      </c>
      <c r="F134" s="38" t="s">
        <v>106</v>
      </c>
      <c r="G134" s="39" t="s">
        <v>209</v>
      </c>
      <c r="H134" s="37">
        <v>25</v>
      </c>
    </row>
    <row r="135" spans="1:11" x14ac:dyDescent="0.25">
      <c r="A135" s="75">
        <v>42285</v>
      </c>
      <c r="B135" s="9">
        <v>0.52083333333333337</v>
      </c>
      <c r="C135" s="36" t="s">
        <v>33</v>
      </c>
      <c r="D135" s="74" t="s">
        <v>34</v>
      </c>
      <c r="E135" s="74" t="s">
        <v>129</v>
      </c>
      <c r="F135" s="74" t="s">
        <v>27</v>
      </c>
      <c r="G135" s="74" t="s">
        <v>125</v>
      </c>
      <c r="H135" s="74">
        <v>22</v>
      </c>
      <c r="I135" s="74"/>
    </row>
    <row r="136" spans="1:11" x14ac:dyDescent="0.25">
      <c r="A136" s="34">
        <v>42285</v>
      </c>
      <c r="B136" s="35">
        <v>0.58333333333333337</v>
      </c>
      <c r="C136" s="36" t="s">
        <v>20</v>
      </c>
      <c r="D136" s="37" t="s">
        <v>13</v>
      </c>
      <c r="E136" s="37" t="s">
        <v>14</v>
      </c>
      <c r="F136" s="38" t="s">
        <v>106</v>
      </c>
      <c r="G136" s="39" t="s">
        <v>209</v>
      </c>
      <c r="H136" s="37">
        <v>25</v>
      </c>
    </row>
    <row r="137" spans="1:11" x14ac:dyDescent="0.25">
      <c r="A137" s="34">
        <v>42285</v>
      </c>
      <c r="B137" s="35">
        <v>0.72916666666666663</v>
      </c>
      <c r="C137" s="36" t="s">
        <v>12</v>
      </c>
      <c r="D137" s="37" t="s">
        <v>13</v>
      </c>
      <c r="E137" s="37" t="s">
        <v>14</v>
      </c>
      <c r="F137" s="38" t="s">
        <v>27</v>
      </c>
      <c r="G137" s="39" t="s">
        <v>32</v>
      </c>
      <c r="H137" s="23">
        <v>22</v>
      </c>
    </row>
    <row r="138" spans="1:11" x14ac:dyDescent="0.25">
      <c r="A138" s="34">
        <v>42285</v>
      </c>
      <c r="B138" s="35">
        <v>0.75</v>
      </c>
      <c r="C138" s="36" t="s">
        <v>20</v>
      </c>
      <c r="D138" s="37" t="s">
        <v>13</v>
      </c>
      <c r="E138" s="37" t="s">
        <v>14</v>
      </c>
      <c r="F138" s="38" t="s">
        <v>101</v>
      </c>
      <c r="G138" s="39" t="s">
        <v>102</v>
      </c>
      <c r="H138" s="37">
        <v>15</v>
      </c>
    </row>
    <row r="139" spans="1:11" ht="16.5" x14ac:dyDescent="0.3">
      <c r="A139" s="80">
        <v>42287</v>
      </c>
      <c r="B139" s="81">
        <v>0.41666666666666669</v>
      </c>
      <c r="C139" s="82" t="s">
        <v>84</v>
      </c>
      <c r="D139" s="25" t="s">
        <v>44</v>
      </c>
      <c r="E139" s="82" t="s">
        <v>37</v>
      </c>
      <c r="F139" s="82" t="s">
        <v>27</v>
      </c>
      <c r="G139" s="83" t="s">
        <v>38</v>
      </c>
      <c r="H139" s="20">
        <v>25</v>
      </c>
      <c r="J139" s="78"/>
    </row>
    <row r="140" spans="1:11" x14ac:dyDescent="0.25">
      <c r="A140" s="45">
        <v>42289</v>
      </c>
      <c r="B140" s="43">
        <v>0.75</v>
      </c>
      <c r="C140" s="37" t="s">
        <v>17</v>
      </c>
      <c r="D140" s="37" t="s">
        <v>13</v>
      </c>
      <c r="E140" s="37" t="s">
        <v>14</v>
      </c>
      <c r="F140" s="37" t="s">
        <v>29</v>
      </c>
      <c r="G140" s="37" t="s">
        <v>107</v>
      </c>
      <c r="H140" s="44">
        <v>25</v>
      </c>
      <c r="I140" s="21"/>
      <c r="J140" s="19"/>
      <c r="K140" s="74"/>
    </row>
    <row r="141" spans="1:11" x14ac:dyDescent="0.25">
      <c r="A141" s="41">
        <v>42290</v>
      </c>
      <c r="B141" s="42">
        <v>0.33333333333333331</v>
      </c>
      <c r="C141" s="37" t="s">
        <v>20</v>
      </c>
      <c r="D141" s="37" t="s">
        <v>13</v>
      </c>
      <c r="E141" s="37" t="s">
        <v>14</v>
      </c>
      <c r="F141" s="37" t="s">
        <v>67</v>
      </c>
      <c r="G141" s="40" t="s">
        <v>104</v>
      </c>
      <c r="H141" s="37">
        <v>20</v>
      </c>
      <c r="I141" s="21"/>
      <c r="J141" s="19"/>
      <c r="K141" s="74"/>
    </row>
    <row r="142" spans="1:11" x14ac:dyDescent="0.25">
      <c r="A142" s="45">
        <v>42290</v>
      </c>
      <c r="B142" s="43">
        <v>0.39583333333333331</v>
      </c>
      <c r="C142" s="37" t="s">
        <v>12</v>
      </c>
      <c r="D142" s="37" t="s">
        <v>13</v>
      </c>
      <c r="E142" s="37" t="s">
        <v>14</v>
      </c>
      <c r="F142" s="37" t="s">
        <v>103</v>
      </c>
      <c r="G142" s="37" t="s">
        <v>104</v>
      </c>
      <c r="H142" s="44">
        <v>25</v>
      </c>
      <c r="J142" s="74"/>
    </row>
    <row r="143" spans="1:11" x14ac:dyDescent="0.25">
      <c r="A143" s="41">
        <v>42290</v>
      </c>
      <c r="B143" s="35">
        <v>0.45833333333333331</v>
      </c>
      <c r="C143" s="36" t="s">
        <v>17</v>
      </c>
      <c r="D143" s="37" t="s">
        <v>13</v>
      </c>
      <c r="E143" s="37" t="s">
        <v>49</v>
      </c>
      <c r="F143" s="38" t="s">
        <v>109</v>
      </c>
      <c r="G143" s="39" t="s">
        <v>108</v>
      </c>
      <c r="H143" s="37">
        <v>16</v>
      </c>
      <c r="J143" s="74"/>
    </row>
    <row r="144" spans="1:11" x14ac:dyDescent="0.25">
      <c r="A144" s="45">
        <v>42290</v>
      </c>
      <c r="B144" s="43">
        <v>0.58333333333333337</v>
      </c>
      <c r="C144" s="37" t="s">
        <v>31</v>
      </c>
      <c r="D144" s="37" t="s">
        <v>13</v>
      </c>
      <c r="E144" s="37" t="s">
        <v>14</v>
      </c>
      <c r="F144" s="37" t="s">
        <v>103</v>
      </c>
      <c r="G144" s="37" t="s">
        <v>104</v>
      </c>
      <c r="H144" s="44">
        <v>25</v>
      </c>
      <c r="I144" s="21"/>
      <c r="J144" s="19"/>
    </row>
    <row r="145" spans="1:11" ht="16.5" x14ac:dyDescent="0.3">
      <c r="A145" s="80">
        <v>42291</v>
      </c>
      <c r="B145" s="81">
        <v>0.54166666666666663</v>
      </c>
      <c r="C145" s="82" t="s">
        <v>131</v>
      </c>
      <c r="D145" s="25" t="s">
        <v>44</v>
      </c>
      <c r="E145" s="82" t="s">
        <v>37</v>
      </c>
      <c r="F145" s="82" t="s">
        <v>29</v>
      </c>
      <c r="G145" s="83" t="s">
        <v>136</v>
      </c>
      <c r="H145" s="20">
        <v>25</v>
      </c>
      <c r="J145" s="78"/>
    </row>
    <row r="146" spans="1:11" ht="16.5" x14ac:dyDescent="0.3">
      <c r="A146" s="80">
        <v>42291</v>
      </c>
      <c r="B146" s="81">
        <v>0.60416666666666663</v>
      </c>
      <c r="C146" s="82" t="s">
        <v>131</v>
      </c>
      <c r="D146" s="25" t="s">
        <v>44</v>
      </c>
      <c r="E146" s="82" t="s">
        <v>37</v>
      </c>
      <c r="F146" s="82" t="s">
        <v>29</v>
      </c>
      <c r="G146" s="83" t="s">
        <v>136</v>
      </c>
      <c r="H146" s="20">
        <v>25</v>
      </c>
      <c r="J146" s="78"/>
    </row>
    <row r="147" spans="1:11" ht="16.5" x14ac:dyDescent="0.3">
      <c r="A147" s="80">
        <v>42291</v>
      </c>
      <c r="B147" s="81">
        <v>0.66666666666666663</v>
      </c>
      <c r="C147" s="82" t="s">
        <v>84</v>
      </c>
      <c r="D147" s="25" t="s">
        <v>44</v>
      </c>
      <c r="E147" s="82" t="s">
        <v>37</v>
      </c>
      <c r="F147" s="82" t="s">
        <v>29</v>
      </c>
      <c r="G147" s="83" t="s">
        <v>136</v>
      </c>
      <c r="H147" s="20">
        <v>25</v>
      </c>
      <c r="J147" s="78"/>
    </row>
    <row r="148" spans="1:11" x14ac:dyDescent="0.25">
      <c r="A148" s="45">
        <v>42292</v>
      </c>
      <c r="B148" s="43">
        <v>0.41666666666666669</v>
      </c>
      <c r="C148" s="37" t="s">
        <v>24</v>
      </c>
      <c r="D148" s="37" t="s">
        <v>13</v>
      </c>
      <c r="E148" s="37" t="s">
        <v>14</v>
      </c>
      <c r="F148" s="37" t="s">
        <v>110</v>
      </c>
      <c r="G148" s="37" t="s">
        <v>28</v>
      </c>
      <c r="H148" s="44">
        <v>25</v>
      </c>
      <c r="J148" s="74"/>
    </row>
    <row r="149" spans="1:11" x14ac:dyDescent="0.25">
      <c r="A149" s="34">
        <v>42292</v>
      </c>
      <c r="B149" s="35">
        <v>0.52083333333333337</v>
      </c>
      <c r="C149" s="36" t="s">
        <v>17</v>
      </c>
      <c r="D149" s="37" t="s">
        <v>13</v>
      </c>
      <c r="E149" s="37" t="s">
        <v>14</v>
      </c>
      <c r="F149" s="38" t="s">
        <v>27</v>
      </c>
      <c r="G149" s="39" t="s">
        <v>28</v>
      </c>
      <c r="H149" s="37">
        <v>25</v>
      </c>
      <c r="I149" s="21"/>
      <c r="J149" s="19"/>
      <c r="K149" s="74"/>
    </row>
    <row r="150" spans="1:11" x14ac:dyDescent="0.25">
      <c r="A150" s="45">
        <v>42293</v>
      </c>
      <c r="B150" s="43">
        <v>0.39583333333333331</v>
      </c>
      <c r="C150" s="37" t="s">
        <v>24</v>
      </c>
      <c r="D150" s="37" t="s">
        <v>13</v>
      </c>
      <c r="E150" s="37" t="s">
        <v>111</v>
      </c>
      <c r="F150" s="37" t="s">
        <v>18</v>
      </c>
      <c r="G150" s="37" t="s">
        <v>19</v>
      </c>
      <c r="H150" s="44">
        <v>40</v>
      </c>
      <c r="I150" s="21"/>
      <c r="J150" s="19"/>
      <c r="K150" s="74"/>
    </row>
    <row r="151" spans="1:11" x14ac:dyDescent="0.25">
      <c r="A151" s="34">
        <v>42296</v>
      </c>
      <c r="B151" s="35">
        <v>0.41666666666666669</v>
      </c>
      <c r="C151" s="37" t="s">
        <v>20</v>
      </c>
      <c r="D151" s="37" t="s">
        <v>13</v>
      </c>
      <c r="E151" s="37" t="s">
        <v>14</v>
      </c>
      <c r="F151" s="38" t="s">
        <v>112</v>
      </c>
      <c r="G151" s="37" t="s">
        <v>69</v>
      </c>
      <c r="H151" s="44">
        <v>15</v>
      </c>
    </row>
    <row r="152" spans="1:11" x14ac:dyDescent="0.25">
      <c r="A152" s="45">
        <v>42296</v>
      </c>
      <c r="B152" s="43">
        <v>0.66666666666666663</v>
      </c>
      <c r="C152" s="37" t="s">
        <v>17</v>
      </c>
      <c r="D152" s="37" t="s">
        <v>13</v>
      </c>
      <c r="E152" s="37" t="s">
        <v>14</v>
      </c>
      <c r="F152" s="37" t="s">
        <v>25</v>
      </c>
      <c r="G152" s="37"/>
      <c r="H152" s="44">
        <v>8</v>
      </c>
      <c r="I152" s="74"/>
      <c r="J152" s="74"/>
    </row>
    <row r="153" spans="1:11" x14ac:dyDescent="0.25">
      <c r="A153" s="41">
        <v>42296</v>
      </c>
      <c r="B153" s="42">
        <v>0.75</v>
      </c>
      <c r="C153" s="37" t="s">
        <v>31</v>
      </c>
      <c r="D153" s="37" t="s">
        <v>13</v>
      </c>
      <c r="E153" s="37" t="s">
        <v>14</v>
      </c>
      <c r="F153" s="37" t="s">
        <v>27</v>
      </c>
      <c r="G153" s="40" t="s">
        <v>105</v>
      </c>
      <c r="H153" s="37">
        <v>18</v>
      </c>
      <c r="I153" s="21"/>
      <c r="J153" s="19"/>
    </row>
    <row r="154" spans="1:11" ht="16.5" x14ac:dyDescent="0.3">
      <c r="A154" s="41">
        <v>42297</v>
      </c>
      <c r="B154" s="42">
        <v>0.4375</v>
      </c>
      <c r="C154" s="37" t="s">
        <v>26</v>
      </c>
      <c r="D154" s="37" t="s">
        <v>13</v>
      </c>
      <c r="E154" s="37" t="s">
        <v>14</v>
      </c>
      <c r="F154" s="37" t="s">
        <v>29</v>
      </c>
      <c r="G154" s="40" t="s">
        <v>96</v>
      </c>
      <c r="H154" s="37">
        <v>25</v>
      </c>
      <c r="J154" s="78"/>
    </row>
    <row r="155" spans="1:11" x14ac:dyDescent="0.25">
      <c r="A155" s="75">
        <v>42297</v>
      </c>
      <c r="B155" s="9">
        <v>0.45833333333333331</v>
      </c>
      <c r="C155" s="36" t="s">
        <v>33</v>
      </c>
      <c r="D155" s="74" t="s">
        <v>34</v>
      </c>
      <c r="E155" s="74" t="s">
        <v>35</v>
      </c>
      <c r="F155" s="76" t="s">
        <v>25</v>
      </c>
      <c r="G155" s="74"/>
      <c r="H155" s="74">
        <v>1</v>
      </c>
    </row>
    <row r="156" spans="1:11" ht="16.5" x14ac:dyDescent="0.3">
      <c r="A156" s="80">
        <v>42297</v>
      </c>
      <c r="B156" s="81">
        <v>0.5</v>
      </c>
      <c r="C156" s="82" t="s">
        <v>131</v>
      </c>
      <c r="D156" s="25" t="s">
        <v>44</v>
      </c>
      <c r="E156" s="82" t="s">
        <v>137</v>
      </c>
      <c r="F156" s="82" t="s">
        <v>25</v>
      </c>
      <c r="G156" s="84"/>
      <c r="H156" s="20">
        <v>10</v>
      </c>
      <c r="I156" s="74"/>
      <c r="J156" s="74"/>
    </row>
    <row r="157" spans="1:11" ht="16.5" x14ac:dyDescent="0.3">
      <c r="A157" s="41">
        <v>42297</v>
      </c>
      <c r="B157" s="42">
        <v>0.5</v>
      </c>
      <c r="C157" s="37" t="s">
        <v>17</v>
      </c>
      <c r="D157" s="37" t="s">
        <v>13</v>
      </c>
      <c r="E157" s="37" t="s">
        <v>14</v>
      </c>
      <c r="F157" s="37" t="s">
        <v>25</v>
      </c>
      <c r="G157" s="40"/>
      <c r="H157" s="37">
        <v>5</v>
      </c>
      <c r="J157" s="78"/>
    </row>
    <row r="158" spans="1:11" x14ac:dyDescent="0.25">
      <c r="A158" s="34">
        <v>42297</v>
      </c>
      <c r="B158" s="35">
        <v>0.52083333333333337</v>
      </c>
      <c r="C158" s="36" t="s">
        <v>24</v>
      </c>
      <c r="D158" s="37" t="s">
        <v>13</v>
      </c>
      <c r="E158" s="37" t="s">
        <v>113</v>
      </c>
      <c r="F158" s="38" t="s">
        <v>18</v>
      </c>
      <c r="G158" s="39" t="s">
        <v>19</v>
      </c>
      <c r="H158" s="37">
        <v>40</v>
      </c>
      <c r="J158" s="74"/>
    </row>
    <row r="159" spans="1:11" x14ac:dyDescent="0.25">
      <c r="A159" s="34">
        <v>42297</v>
      </c>
      <c r="B159" s="38">
        <v>0.58333333333333337</v>
      </c>
      <c r="C159" s="37" t="s">
        <v>20</v>
      </c>
      <c r="D159" s="37" t="s">
        <v>13</v>
      </c>
      <c r="E159" s="37" t="s">
        <v>14</v>
      </c>
      <c r="F159" s="37" t="s">
        <v>25</v>
      </c>
      <c r="G159" s="23"/>
      <c r="H159" s="37">
        <v>10</v>
      </c>
      <c r="I159" s="74"/>
      <c r="J159" s="74"/>
    </row>
    <row r="160" spans="1:11" x14ac:dyDescent="0.25">
      <c r="A160" s="41">
        <v>42297</v>
      </c>
      <c r="B160" s="42">
        <v>0.64583333333333337</v>
      </c>
      <c r="C160" s="37" t="s">
        <v>17</v>
      </c>
      <c r="D160" s="37" t="s">
        <v>13</v>
      </c>
      <c r="E160" s="37" t="s">
        <v>14</v>
      </c>
      <c r="F160" s="37" t="s">
        <v>114</v>
      </c>
      <c r="G160" s="40" t="s">
        <v>19</v>
      </c>
      <c r="H160" s="37">
        <v>35</v>
      </c>
      <c r="J160" s="74"/>
    </row>
    <row r="161" spans="1:10" x14ac:dyDescent="0.25">
      <c r="A161" s="75">
        <v>42297</v>
      </c>
      <c r="B161" s="9">
        <v>0.70833333333333337</v>
      </c>
      <c r="C161" s="36" t="s">
        <v>33</v>
      </c>
      <c r="D161" s="74" t="s">
        <v>34</v>
      </c>
      <c r="E161" s="74" t="s">
        <v>35</v>
      </c>
      <c r="F161" s="76" t="s">
        <v>25</v>
      </c>
      <c r="G161" s="74"/>
      <c r="H161" s="74">
        <v>2</v>
      </c>
      <c r="I161" s="74"/>
      <c r="J161" s="74"/>
    </row>
    <row r="162" spans="1:10" ht="16.5" x14ac:dyDescent="0.3">
      <c r="A162" s="80">
        <v>42297</v>
      </c>
      <c r="B162" s="81">
        <v>0.70833333333333337</v>
      </c>
      <c r="C162" s="82" t="s">
        <v>84</v>
      </c>
      <c r="D162" s="25" t="s">
        <v>44</v>
      </c>
      <c r="E162" s="82" t="s">
        <v>137</v>
      </c>
      <c r="F162" s="82" t="s">
        <v>25</v>
      </c>
      <c r="G162" s="84"/>
      <c r="H162" s="20">
        <v>20</v>
      </c>
      <c r="I162" s="74"/>
      <c r="J162" s="74"/>
    </row>
    <row r="163" spans="1:10" x14ac:dyDescent="0.25">
      <c r="A163" s="41">
        <v>42298</v>
      </c>
      <c r="B163" s="42">
        <v>0.3125</v>
      </c>
      <c r="C163" s="37" t="s">
        <v>20</v>
      </c>
      <c r="D163" s="37" t="s">
        <v>13</v>
      </c>
      <c r="E163" s="37" t="s">
        <v>14</v>
      </c>
      <c r="F163" s="37" t="s">
        <v>29</v>
      </c>
      <c r="G163" s="40" t="s">
        <v>96</v>
      </c>
      <c r="H163" s="37">
        <v>20</v>
      </c>
      <c r="J163" s="74"/>
    </row>
    <row r="164" spans="1:10" x14ac:dyDescent="0.25">
      <c r="A164" s="34">
        <v>42298</v>
      </c>
      <c r="B164" s="38">
        <v>0.39583333333333331</v>
      </c>
      <c r="C164" s="37" t="s">
        <v>12</v>
      </c>
      <c r="D164" s="37" t="s">
        <v>13</v>
      </c>
      <c r="E164" s="37" t="s">
        <v>14</v>
      </c>
      <c r="F164" s="37" t="s">
        <v>57</v>
      </c>
      <c r="G164" s="40" t="s">
        <v>115</v>
      </c>
      <c r="H164" s="37">
        <v>25</v>
      </c>
      <c r="J164" s="74"/>
    </row>
    <row r="165" spans="1:10" x14ac:dyDescent="0.25">
      <c r="A165" s="41">
        <v>42298</v>
      </c>
      <c r="B165" s="43">
        <v>0.45833333333333331</v>
      </c>
      <c r="C165" s="37" t="s">
        <v>31</v>
      </c>
      <c r="D165" s="37" t="s">
        <v>13</v>
      </c>
      <c r="E165" s="37" t="s">
        <v>14</v>
      </c>
      <c r="F165" s="37" t="s">
        <v>57</v>
      </c>
      <c r="G165" s="37" t="s">
        <v>115</v>
      </c>
      <c r="H165" s="44">
        <v>25</v>
      </c>
      <c r="J165" s="74"/>
    </row>
    <row r="166" spans="1:10" x14ac:dyDescent="0.25">
      <c r="A166" s="34">
        <v>42298</v>
      </c>
      <c r="B166" s="38">
        <v>0.72916666666666663</v>
      </c>
      <c r="C166" s="37" t="s">
        <v>24</v>
      </c>
      <c r="D166" s="37" t="s">
        <v>13</v>
      </c>
      <c r="E166" s="37" t="s">
        <v>14</v>
      </c>
      <c r="F166" s="37" t="s">
        <v>110</v>
      </c>
      <c r="G166" s="40" t="s">
        <v>28</v>
      </c>
      <c r="H166" s="23">
        <v>25</v>
      </c>
      <c r="J166" s="74"/>
    </row>
    <row r="167" spans="1:10" ht="16.5" x14ac:dyDescent="0.3">
      <c r="A167" s="80">
        <v>42299</v>
      </c>
      <c r="B167" s="81">
        <v>0.39583333333333331</v>
      </c>
      <c r="C167" s="82" t="s">
        <v>131</v>
      </c>
      <c r="D167" s="25" t="s">
        <v>44</v>
      </c>
      <c r="E167" s="82" t="s">
        <v>80</v>
      </c>
      <c r="F167" s="82" t="s">
        <v>79</v>
      </c>
      <c r="G167" s="83" t="s">
        <v>138</v>
      </c>
      <c r="H167" s="20">
        <v>25</v>
      </c>
      <c r="J167" s="78"/>
    </row>
    <row r="168" spans="1:10" ht="16.5" x14ac:dyDescent="0.3">
      <c r="A168" s="41">
        <v>42299</v>
      </c>
      <c r="B168" s="43">
        <v>0.39583333333333331</v>
      </c>
      <c r="C168" s="37" t="s">
        <v>12</v>
      </c>
      <c r="D168" s="37" t="s">
        <v>13</v>
      </c>
      <c r="E168" s="37" t="s">
        <v>14</v>
      </c>
      <c r="F168" s="37" t="s">
        <v>57</v>
      </c>
      <c r="G168" s="37" t="s">
        <v>115</v>
      </c>
      <c r="H168" s="44">
        <v>22</v>
      </c>
      <c r="J168" s="78"/>
    </row>
    <row r="169" spans="1:10" x14ac:dyDescent="0.25">
      <c r="A169" s="80">
        <v>42299</v>
      </c>
      <c r="B169" s="81">
        <v>0.45833333333333331</v>
      </c>
      <c r="C169" s="82" t="s">
        <v>131</v>
      </c>
      <c r="D169" s="25" t="s">
        <v>44</v>
      </c>
      <c r="E169" s="82" t="s">
        <v>80</v>
      </c>
      <c r="F169" s="82" t="s">
        <v>79</v>
      </c>
      <c r="G169" s="83" t="s">
        <v>138</v>
      </c>
      <c r="H169" s="20">
        <v>25</v>
      </c>
      <c r="J169" s="74"/>
    </row>
    <row r="170" spans="1:10" x14ac:dyDescent="0.25">
      <c r="A170" s="34">
        <v>42299</v>
      </c>
      <c r="B170" s="38">
        <v>0.45833333333333331</v>
      </c>
      <c r="C170" s="37" t="s">
        <v>20</v>
      </c>
      <c r="D170" s="37" t="s">
        <v>13</v>
      </c>
      <c r="E170" s="37" t="s">
        <v>14</v>
      </c>
      <c r="F170" s="37" t="s">
        <v>116</v>
      </c>
      <c r="G170" s="40" t="s">
        <v>117</v>
      </c>
      <c r="H170" s="37">
        <v>5</v>
      </c>
      <c r="J170" s="74"/>
    </row>
    <row r="171" spans="1:10" x14ac:dyDescent="0.25">
      <c r="A171" s="41">
        <v>42299</v>
      </c>
      <c r="B171" s="42">
        <v>0.58333333333333337</v>
      </c>
      <c r="C171" s="37" t="s">
        <v>26</v>
      </c>
      <c r="D171" s="37" t="s">
        <v>13</v>
      </c>
      <c r="E171" s="37" t="s">
        <v>14</v>
      </c>
      <c r="F171" s="37" t="s">
        <v>27</v>
      </c>
      <c r="G171" s="40" t="s">
        <v>32</v>
      </c>
      <c r="H171" s="37">
        <v>25</v>
      </c>
      <c r="I171" s="74"/>
      <c r="J171" s="74"/>
    </row>
    <row r="172" spans="1:10" x14ac:dyDescent="0.25">
      <c r="A172" s="34">
        <v>42299</v>
      </c>
      <c r="B172" s="35">
        <v>0.64583333333333337</v>
      </c>
      <c r="C172" s="36" t="s">
        <v>20</v>
      </c>
      <c r="D172" s="37" t="s">
        <v>13</v>
      </c>
      <c r="E172" s="37" t="s">
        <v>14</v>
      </c>
      <c r="F172" s="38" t="s">
        <v>27</v>
      </c>
      <c r="G172" s="39" t="s">
        <v>32</v>
      </c>
      <c r="H172" s="24">
        <v>25</v>
      </c>
      <c r="I172" s="74"/>
    </row>
    <row r="173" spans="1:10" ht="16.5" x14ac:dyDescent="0.3">
      <c r="A173" s="80">
        <v>42300</v>
      </c>
      <c r="B173" s="81">
        <v>0.45833333333333331</v>
      </c>
      <c r="C173" s="82" t="s">
        <v>131</v>
      </c>
      <c r="D173" s="25" t="s">
        <v>44</v>
      </c>
      <c r="E173" s="82" t="s">
        <v>139</v>
      </c>
      <c r="F173" s="82" t="s">
        <v>143</v>
      </c>
      <c r="G173" s="83" t="s">
        <v>140</v>
      </c>
      <c r="H173" s="20">
        <v>25</v>
      </c>
      <c r="I173" s="74"/>
      <c r="J173" s="78"/>
    </row>
    <row r="174" spans="1:10" x14ac:dyDescent="0.25">
      <c r="A174" s="41">
        <v>42303</v>
      </c>
      <c r="B174" s="43">
        <v>0.375</v>
      </c>
      <c r="C174" s="37" t="s">
        <v>20</v>
      </c>
      <c r="D174" s="37" t="s">
        <v>13</v>
      </c>
      <c r="E174" s="37" t="s">
        <v>73</v>
      </c>
      <c r="F174" s="37" t="s">
        <v>76</v>
      </c>
      <c r="G174" s="37" t="s">
        <v>77</v>
      </c>
      <c r="H174" s="44">
        <v>25</v>
      </c>
      <c r="I174" s="74"/>
      <c r="J174" s="74"/>
    </row>
    <row r="175" spans="1:10" x14ac:dyDescent="0.25">
      <c r="A175" s="41">
        <v>42303</v>
      </c>
      <c r="B175" s="43">
        <v>0.5</v>
      </c>
      <c r="C175" s="37" t="s">
        <v>26</v>
      </c>
      <c r="D175" s="37" t="s">
        <v>13</v>
      </c>
      <c r="E175" s="37" t="s">
        <v>14</v>
      </c>
      <c r="F175" s="37" t="s">
        <v>57</v>
      </c>
      <c r="G175" s="37" t="s">
        <v>118</v>
      </c>
      <c r="H175" s="44">
        <v>25</v>
      </c>
    </row>
    <row r="176" spans="1:10" x14ac:dyDescent="0.25">
      <c r="A176" s="41">
        <v>42303</v>
      </c>
      <c r="B176" s="43">
        <v>0.5</v>
      </c>
      <c r="C176" s="37" t="s">
        <v>24</v>
      </c>
      <c r="D176" s="37" t="s">
        <v>13</v>
      </c>
      <c r="E176" s="37" t="s">
        <v>119</v>
      </c>
      <c r="F176" s="37" t="s">
        <v>76</v>
      </c>
      <c r="G176" s="37" t="s">
        <v>77</v>
      </c>
      <c r="H176" s="44">
        <v>25</v>
      </c>
    </row>
    <row r="177" spans="1:10" x14ac:dyDescent="0.25">
      <c r="A177" s="41">
        <v>42303</v>
      </c>
      <c r="B177" s="42">
        <v>0.52083333333333337</v>
      </c>
      <c r="C177" s="37" t="s">
        <v>12</v>
      </c>
      <c r="D177" s="37" t="s">
        <v>121</v>
      </c>
      <c r="E177" s="37" t="s">
        <v>120</v>
      </c>
      <c r="F177" s="37" t="s">
        <v>25</v>
      </c>
      <c r="G177" s="40"/>
      <c r="H177" s="37">
        <v>6</v>
      </c>
    </row>
    <row r="178" spans="1:10" x14ac:dyDescent="0.25">
      <c r="A178" s="34">
        <v>42304</v>
      </c>
      <c r="B178" s="35">
        <v>0.39583333333333331</v>
      </c>
      <c r="C178" s="36" t="s">
        <v>20</v>
      </c>
      <c r="D178" s="37" t="s">
        <v>13</v>
      </c>
      <c r="E178" s="37" t="s">
        <v>119</v>
      </c>
      <c r="F178" s="38" t="s">
        <v>64</v>
      </c>
      <c r="G178" s="39" t="s">
        <v>77</v>
      </c>
      <c r="H178" s="44">
        <v>25</v>
      </c>
      <c r="I178" s="74"/>
      <c r="J178" s="74"/>
    </row>
    <row r="179" spans="1:10" x14ac:dyDescent="0.25">
      <c r="A179" s="41">
        <v>42304</v>
      </c>
      <c r="B179" s="43">
        <v>0.45833333333333331</v>
      </c>
      <c r="C179" s="37" t="s">
        <v>24</v>
      </c>
      <c r="D179" s="37" t="s">
        <v>13</v>
      </c>
      <c r="E179" s="37" t="s">
        <v>119</v>
      </c>
      <c r="F179" s="37" t="s">
        <v>64</v>
      </c>
      <c r="G179" s="37" t="s">
        <v>77</v>
      </c>
      <c r="H179" s="44">
        <v>25</v>
      </c>
    </row>
    <row r="180" spans="1:10" x14ac:dyDescent="0.25">
      <c r="A180" s="41">
        <v>42304</v>
      </c>
      <c r="B180" s="43">
        <v>0.52083333333333337</v>
      </c>
      <c r="C180" s="37" t="s">
        <v>31</v>
      </c>
      <c r="D180" s="37" t="s">
        <v>13</v>
      </c>
      <c r="E180" s="37" t="s">
        <v>14</v>
      </c>
      <c r="F180" s="37" t="s">
        <v>57</v>
      </c>
      <c r="G180" s="37" t="s">
        <v>118</v>
      </c>
      <c r="H180" s="44">
        <v>15</v>
      </c>
    </row>
    <row r="181" spans="1:10" x14ac:dyDescent="0.25">
      <c r="A181" s="41">
        <v>42304</v>
      </c>
      <c r="B181" s="43">
        <v>0.58333333333333337</v>
      </c>
      <c r="C181" s="37" t="s">
        <v>26</v>
      </c>
      <c r="D181" s="37" t="s">
        <v>13</v>
      </c>
      <c r="E181" s="37" t="s">
        <v>119</v>
      </c>
      <c r="F181" s="37" t="s">
        <v>64</v>
      </c>
      <c r="G181" s="37" t="s">
        <v>77</v>
      </c>
      <c r="H181" s="44">
        <v>25</v>
      </c>
      <c r="I181" s="74"/>
    </row>
    <row r="182" spans="1:10" ht="16.5" x14ac:dyDescent="0.3">
      <c r="A182" s="80">
        <v>42305</v>
      </c>
      <c r="B182" s="81">
        <v>0.45833333333333331</v>
      </c>
      <c r="C182" s="82" t="s">
        <v>131</v>
      </c>
      <c r="D182" s="25" t="s">
        <v>44</v>
      </c>
      <c r="E182" s="82" t="s">
        <v>141</v>
      </c>
      <c r="F182" s="82" t="s">
        <v>25</v>
      </c>
      <c r="G182" s="84"/>
      <c r="H182" s="20">
        <v>15</v>
      </c>
      <c r="I182" s="74"/>
      <c r="J182" s="78"/>
    </row>
    <row r="183" spans="1:10" ht="16.5" x14ac:dyDescent="0.3">
      <c r="A183" s="34">
        <v>42305</v>
      </c>
      <c r="B183" s="35">
        <v>0.45833333333333331</v>
      </c>
      <c r="C183" s="36" t="s">
        <v>17</v>
      </c>
      <c r="D183" s="37" t="s">
        <v>13</v>
      </c>
      <c r="E183" s="37" t="s">
        <v>14</v>
      </c>
      <c r="F183" s="38" t="s">
        <v>25</v>
      </c>
      <c r="G183" s="39"/>
      <c r="H183" s="24">
        <v>5</v>
      </c>
      <c r="I183" s="74"/>
      <c r="J183" s="78"/>
    </row>
    <row r="184" spans="1:10" x14ac:dyDescent="0.25">
      <c r="A184" s="34">
        <v>42305</v>
      </c>
      <c r="B184" s="35">
        <v>0.5</v>
      </c>
      <c r="C184" s="36" t="s">
        <v>31</v>
      </c>
      <c r="D184" s="37" t="s">
        <v>13</v>
      </c>
      <c r="E184" s="37" t="s">
        <v>14</v>
      </c>
      <c r="F184" s="38" t="s">
        <v>57</v>
      </c>
      <c r="G184" s="39"/>
      <c r="H184" s="24">
        <v>15</v>
      </c>
      <c r="J184" s="77"/>
    </row>
    <row r="185" spans="1:10" x14ac:dyDescent="0.25">
      <c r="A185" s="75">
        <v>42305</v>
      </c>
      <c r="B185" s="9">
        <v>0.5625</v>
      </c>
      <c r="C185" s="36" t="s">
        <v>33</v>
      </c>
      <c r="D185" s="74" t="s">
        <v>34</v>
      </c>
      <c r="E185" s="74" t="s">
        <v>35</v>
      </c>
      <c r="F185" s="74" t="s">
        <v>25</v>
      </c>
      <c r="G185" s="74"/>
      <c r="H185" s="74">
        <v>4</v>
      </c>
      <c r="I185" s="74"/>
      <c r="J185" s="74"/>
    </row>
    <row r="186" spans="1:10" x14ac:dyDescent="0.25">
      <c r="A186" s="80">
        <v>42305</v>
      </c>
      <c r="B186" s="81">
        <v>0.5625</v>
      </c>
      <c r="C186" s="82" t="s">
        <v>131</v>
      </c>
      <c r="D186" s="25" t="s">
        <v>44</v>
      </c>
      <c r="E186" s="82" t="s">
        <v>37</v>
      </c>
      <c r="F186" s="82" t="s">
        <v>144</v>
      </c>
      <c r="G186" s="83" t="s">
        <v>142</v>
      </c>
      <c r="H186" s="20">
        <v>10</v>
      </c>
    </row>
    <row r="187" spans="1:10" x14ac:dyDescent="0.25">
      <c r="A187" s="66">
        <v>42305</v>
      </c>
      <c r="B187" s="60">
        <v>0.625</v>
      </c>
      <c r="C187" s="36" t="s">
        <v>33</v>
      </c>
      <c r="D187" s="25" t="s">
        <v>34</v>
      </c>
      <c r="E187" s="25" t="s">
        <v>35</v>
      </c>
      <c r="F187" s="79" t="s">
        <v>25</v>
      </c>
      <c r="G187" s="25"/>
      <c r="H187" s="25">
        <v>20</v>
      </c>
      <c r="I187" s="74"/>
      <c r="J187" s="74"/>
    </row>
    <row r="188" spans="1:10" ht="16.5" x14ac:dyDescent="0.3">
      <c r="A188" s="80">
        <v>42305</v>
      </c>
      <c r="B188" s="81">
        <v>0.625</v>
      </c>
      <c r="C188" s="82" t="s">
        <v>131</v>
      </c>
      <c r="D188" s="25" t="s">
        <v>44</v>
      </c>
      <c r="E188" s="82" t="s">
        <v>141</v>
      </c>
      <c r="F188" s="82" t="s">
        <v>25</v>
      </c>
      <c r="G188" s="84"/>
      <c r="H188" s="20">
        <v>35</v>
      </c>
    </row>
    <row r="189" spans="1:10" x14ac:dyDescent="0.25">
      <c r="A189" s="34">
        <v>42305</v>
      </c>
      <c r="B189" s="35">
        <v>0.625</v>
      </c>
      <c r="C189" s="36" t="s">
        <v>12</v>
      </c>
      <c r="D189" s="37" t="s">
        <v>13</v>
      </c>
      <c r="E189" s="37" t="s">
        <v>14</v>
      </c>
      <c r="F189" s="38" t="s">
        <v>25</v>
      </c>
      <c r="G189" s="39"/>
      <c r="H189" s="24">
        <v>20</v>
      </c>
      <c r="I189" s="74"/>
      <c r="J189" s="74"/>
    </row>
    <row r="190" spans="1:10" x14ac:dyDescent="0.25">
      <c r="A190" s="34">
        <v>42306</v>
      </c>
      <c r="B190" s="35">
        <v>0.52083333333333337</v>
      </c>
      <c r="C190" s="36" t="s">
        <v>26</v>
      </c>
      <c r="D190" s="37" t="s">
        <v>13</v>
      </c>
      <c r="E190" s="37" t="s">
        <v>14</v>
      </c>
      <c r="F190" s="38" t="s">
        <v>57</v>
      </c>
      <c r="G190" s="39" t="s">
        <v>118</v>
      </c>
      <c r="H190" s="24">
        <v>20</v>
      </c>
      <c r="I190" s="74"/>
      <c r="J190" s="74"/>
    </row>
    <row r="191" spans="1:10" x14ac:dyDescent="0.25">
      <c r="A191" s="75">
        <v>42306</v>
      </c>
      <c r="B191" s="9">
        <v>0.58333333333333337</v>
      </c>
      <c r="C191" s="36" t="s">
        <v>33</v>
      </c>
      <c r="D191" s="74" t="s">
        <v>34</v>
      </c>
      <c r="E191" s="74" t="s">
        <v>128</v>
      </c>
      <c r="F191" s="74" t="s">
        <v>27</v>
      </c>
      <c r="G191" s="74" t="s">
        <v>126</v>
      </c>
      <c r="H191" s="74">
        <v>17</v>
      </c>
      <c r="I191" s="74"/>
      <c r="J191" s="74"/>
    </row>
    <row r="192" spans="1:10" x14ac:dyDescent="0.25">
      <c r="A192" s="34">
        <v>42306</v>
      </c>
      <c r="B192" s="38">
        <v>0.58333333333333337</v>
      </c>
      <c r="C192" s="36" t="s">
        <v>20</v>
      </c>
      <c r="D192" s="37" t="s">
        <v>13</v>
      </c>
      <c r="E192" s="37" t="s">
        <v>14</v>
      </c>
      <c r="F192" s="38" t="s">
        <v>79</v>
      </c>
      <c r="G192" s="23" t="s">
        <v>122</v>
      </c>
      <c r="H192" s="23">
        <v>15</v>
      </c>
      <c r="I192" s="74"/>
    </row>
    <row r="193" spans="1:10" x14ac:dyDescent="0.25">
      <c r="A193" s="41">
        <v>42306</v>
      </c>
      <c r="B193" s="43">
        <v>0.64583333333333337</v>
      </c>
      <c r="C193" s="37" t="s">
        <v>17</v>
      </c>
      <c r="D193" s="37" t="s">
        <v>13</v>
      </c>
      <c r="E193" s="37" t="s">
        <v>14</v>
      </c>
      <c r="F193" s="37" t="s">
        <v>79</v>
      </c>
      <c r="G193" s="37" t="s">
        <v>122</v>
      </c>
      <c r="H193" s="44">
        <v>29</v>
      </c>
    </row>
    <row r="194" spans="1:10" x14ac:dyDescent="0.25">
      <c r="A194" s="75">
        <v>42306</v>
      </c>
      <c r="B194" s="9">
        <v>0.66666666666666663</v>
      </c>
      <c r="C194" s="36" t="s">
        <v>33</v>
      </c>
      <c r="D194" s="74" t="s">
        <v>34</v>
      </c>
      <c r="E194" s="74" t="s">
        <v>127</v>
      </c>
      <c r="F194" s="76" t="s">
        <v>29</v>
      </c>
      <c r="G194" s="74" t="s">
        <v>100</v>
      </c>
      <c r="H194" s="74">
        <v>19</v>
      </c>
      <c r="I194" s="74"/>
      <c r="J194" s="74"/>
    </row>
    <row r="195" spans="1:10" x14ac:dyDescent="0.25">
      <c r="A195" s="41">
        <v>42306</v>
      </c>
      <c r="B195" s="43">
        <v>0.6875</v>
      </c>
      <c r="C195" s="37" t="s">
        <v>12</v>
      </c>
      <c r="D195" s="37" t="s">
        <v>13</v>
      </c>
      <c r="E195" s="37" t="s">
        <v>14</v>
      </c>
      <c r="F195" s="37" t="s">
        <v>25</v>
      </c>
      <c r="G195" s="37"/>
      <c r="H195" s="44">
        <v>15</v>
      </c>
      <c r="I195" s="74"/>
      <c r="J195" s="74"/>
    </row>
    <row r="196" spans="1:10" x14ac:dyDescent="0.25">
      <c r="A196" s="34">
        <v>42307</v>
      </c>
      <c r="B196" s="35">
        <v>0.41666666666666669</v>
      </c>
      <c r="C196" s="36" t="s">
        <v>24</v>
      </c>
      <c r="D196" s="37" t="s">
        <v>13</v>
      </c>
      <c r="E196" s="37" t="s">
        <v>14</v>
      </c>
      <c r="F196" s="38" t="s">
        <v>29</v>
      </c>
      <c r="G196" s="39" t="s">
        <v>210</v>
      </c>
      <c r="H196" s="24">
        <v>25</v>
      </c>
      <c r="I196" s="74"/>
      <c r="J196" s="74"/>
    </row>
    <row r="197" spans="1:10" x14ac:dyDescent="0.25">
      <c r="A197" s="34">
        <v>42310</v>
      </c>
      <c r="B197" s="35">
        <v>0.375</v>
      </c>
      <c r="C197" s="36" t="s">
        <v>20</v>
      </c>
      <c r="D197" s="37" t="s">
        <v>13</v>
      </c>
      <c r="E197" s="37" t="s">
        <v>14</v>
      </c>
      <c r="F197" s="38" t="s">
        <v>29</v>
      </c>
      <c r="G197" s="39" t="s">
        <v>145</v>
      </c>
      <c r="H197" s="20">
        <v>20</v>
      </c>
      <c r="I197" s="1"/>
      <c r="J197" s="74"/>
    </row>
    <row r="198" spans="1:10" x14ac:dyDescent="0.25">
      <c r="A198" s="34">
        <v>42310</v>
      </c>
      <c r="B198" s="35">
        <v>0.4375</v>
      </c>
      <c r="C198" s="36" t="s">
        <v>26</v>
      </c>
      <c r="D198" s="37" t="s">
        <v>13</v>
      </c>
      <c r="E198" s="37" t="s">
        <v>14</v>
      </c>
      <c r="F198" s="38" t="s">
        <v>29</v>
      </c>
      <c r="G198" s="39" t="s">
        <v>145</v>
      </c>
      <c r="H198" s="20">
        <v>20</v>
      </c>
      <c r="I198" s="74"/>
      <c r="J198" s="74"/>
    </row>
    <row r="199" spans="1:10" x14ac:dyDescent="0.25">
      <c r="A199" s="70">
        <v>42310</v>
      </c>
      <c r="B199" s="71">
        <v>0.45833333333333331</v>
      </c>
      <c r="C199" s="74" t="s">
        <v>36</v>
      </c>
      <c r="D199" s="2" t="s">
        <v>44</v>
      </c>
      <c r="E199" s="2" t="s">
        <v>37</v>
      </c>
      <c r="F199" s="2" t="s">
        <v>27</v>
      </c>
      <c r="G199" s="64" t="s">
        <v>42</v>
      </c>
      <c r="H199" s="72">
        <v>25</v>
      </c>
      <c r="I199" s="1"/>
      <c r="J199" s="74"/>
    </row>
    <row r="200" spans="1:10" x14ac:dyDescent="0.25">
      <c r="A200" s="34">
        <v>42310</v>
      </c>
      <c r="B200" s="35">
        <v>0.52083333333333337</v>
      </c>
      <c r="C200" s="36" t="s">
        <v>12</v>
      </c>
      <c r="D200" s="37" t="s">
        <v>13</v>
      </c>
      <c r="E200" s="37" t="s">
        <v>14</v>
      </c>
      <c r="F200" s="38" t="s">
        <v>29</v>
      </c>
      <c r="G200" s="39" t="s">
        <v>145</v>
      </c>
      <c r="H200" s="24">
        <v>15</v>
      </c>
      <c r="I200" s="74"/>
      <c r="J200" s="74"/>
    </row>
    <row r="201" spans="1:10" x14ac:dyDescent="0.25">
      <c r="A201" s="75">
        <v>42310</v>
      </c>
      <c r="B201" s="76">
        <v>0.5625</v>
      </c>
      <c r="C201" s="67" t="s">
        <v>33</v>
      </c>
      <c r="D201" s="74" t="s">
        <v>34</v>
      </c>
      <c r="E201" s="74" t="s">
        <v>127</v>
      </c>
      <c r="F201" s="74" t="s">
        <v>29</v>
      </c>
      <c r="G201" s="74" t="s">
        <v>151</v>
      </c>
      <c r="H201" s="74">
        <v>21</v>
      </c>
      <c r="I201" s="74"/>
      <c r="J201" s="74"/>
    </row>
    <row r="202" spans="1:10" x14ac:dyDescent="0.25">
      <c r="A202" s="34">
        <v>42310</v>
      </c>
      <c r="B202" s="35">
        <v>0.58333333333333337</v>
      </c>
      <c r="C202" s="36" t="s">
        <v>24</v>
      </c>
      <c r="D202" s="37" t="s">
        <v>13</v>
      </c>
      <c r="E202" s="37" t="s">
        <v>14</v>
      </c>
      <c r="F202" s="38" t="s">
        <v>29</v>
      </c>
      <c r="G202" s="39" t="s">
        <v>145</v>
      </c>
      <c r="H202" s="20">
        <v>15</v>
      </c>
      <c r="I202" s="74"/>
    </row>
    <row r="203" spans="1:10" x14ac:dyDescent="0.25">
      <c r="A203" s="70">
        <v>42310</v>
      </c>
      <c r="B203" s="71">
        <v>0.625</v>
      </c>
      <c r="C203" s="74" t="s">
        <v>36</v>
      </c>
      <c r="D203" s="2" t="s">
        <v>44</v>
      </c>
      <c r="E203" s="2" t="s">
        <v>41</v>
      </c>
      <c r="F203" s="2" t="s">
        <v>29</v>
      </c>
      <c r="G203" s="85" t="s">
        <v>156</v>
      </c>
      <c r="H203" s="72">
        <v>25</v>
      </c>
      <c r="I203" s="74"/>
    </row>
    <row r="204" spans="1:10" x14ac:dyDescent="0.25">
      <c r="A204" s="75">
        <v>42310</v>
      </c>
      <c r="B204" s="76">
        <v>0.65625</v>
      </c>
      <c r="C204" s="67" t="s">
        <v>33</v>
      </c>
      <c r="D204" s="74" t="s">
        <v>34</v>
      </c>
      <c r="E204" s="74" t="s">
        <v>127</v>
      </c>
      <c r="F204" s="76" t="s">
        <v>29</v>
      </c>
      <c r="G204" s="74" t="s">
        <v>100</v>
      </c>
      <c r="H204" s="74">
        <v>20</v>
      </c>
      <c r="I204" s="74"/>
      <c r="J204" s="74"/>
    </row>
    <row r="205" spans="1:10" x14ac:dyDescent="0.25">
      <c r="A205" s="41">
        <v>42310</v>
      </c>
      <c r="B205" s="43">
        <v>0.79166666666666663</v>
      </c>
      <c r="C205" s="37" t="s">
        <v>17</v>
      </c>
      <c r="D205" s="37" t="s">
        <v>13</v>
      </c>
      <c r="E205" s="37" t="s">
        <v>14</v>
      </c>
      <c r="F205" s="37" t="s">
        <v>25</v>
      </c>
      <c r="G205" s="37" t="s">
        <v>146</v>
      </c>
      <c r="H205" s="44">
        <v>25</v>
      </c>
      <c r="I205" s="74"/>
    </row>
    <row r="206" spans="1:10" x14ac:dyDescent="0.25">
      <c r="A206" s="41">
        <v>42310</v>
      </c>
      <c r="B206" s="43">
        <v>0.83333333333333337</v>
      </c>
      <c r="C206" s="37" t="s">
        <v>31</v>
      </c>
      <c r="D206" s="37" t="s">
        <v>13</v>
      </c>
      <c r="E206" s="37" t="s">
        <v>14</v>
      </c>
      <c r="F206" s="37" t="s">
        <v>25</v>
      </c>
      <c r="G206" s="37" t="s">
        <v>210</v>
      </c>
      <c r="H206" s="44">
        <v>27</v>
      </c>
      <c r="J206" s="74"/>
    </row>
    <row r="207" spans="1:10" x14ac:dyDescent="0.25">
      <c r="A207" s="41">
        <v>42311</v>
      </c>
      <c r="B207" s="43">
        <v>0.39583333333333331</v>
      </c>
      <c r="C207" s="37" t="s">
        <v>20</v>
      </c>
      <c r="D207" s="37" t="s">
        <v>13</v>
      </c>
      <c r="E207" s="37" t="s">
        <v>14</v>
      </c>
      <c r="F207" s="37" t="s">
        <v>143</v>
      </c>
      <c r="G207" s="37" t="s">
        <v>147</v>
      </c>
      <c r="H207" s="44">
        <v>25</v>
      </c>
      <c r="I207" s="1"/>
    </row>
    <row r="208" spans="1:10" x14ac:dyDescent="0.25">
      <c r="A208" s="70">
        <v>42311</v>
      </c>
      <c r="B208" s="71">
        <v>0.45833333333333331</v>
      </c>
      <c r="C208" s="74" t="s">
        <v>36</v>
      </c>
      <c r="D208" s="2" t="s">
        <v>44</v>
      </c>
      <c r="E208" s="2" t="s">
        <v>41</v>
      </c>
      <c r="F208" s="2" t="s">
        <v>29</v>
      </c>
      <c r="G208" s="85" t="s">
        <v>156</v>
      </c>
      <c r="H208" s="72">
        <v>25</v>
      </c>
      <c r="I208" s="1"/>
    </row>
    <row r="209" spans="1:10" x14ac:dyDescent="0.25">
      <c r="A209" s="34">
        <v>42311</v>
      </c>
      <c r="B209" s="35">
        <v>0.5625</v>
      </c>
      <c r="C209" s="36" t="s">
        <v>12</v>
      </c>
      <c r="D209" s="37" t="s">
        <v>13</v>
      </c>
      <c r="E209" s="37" t="s">
        <v>14</v>
      </c>
      <c r="F209" s="38" t="s">
        <v>29</v>
      </c>
      <c r="G209" s="39" t="s">
        <v>210</v>
      </c>
      <c r="H209" s="24">
        <v>20</v>
      </c>
      <c r="I209" s="74"/>
      <c r="J209" s="74"/>
    </row>
    <row r="210" spans="1:10" x14ac:dyDescent="0.25">
      <c r="A210" s="70">
        <v>42311</v>
      </c>
      <c r="B210" s="71">
        <v>0.625</v>
      </c>
      <c r="C210" s="74" t="s">
        <v>36</v>
      </c>
      <c r="D210" s="2" t="s">
        <v>44</v>
      </c>
      <c r="E210" s="2" t="s">
        <v>41</v>
      </c>
      <c r="F210" s="2" t="s">
        <v>29</v>
      </c>
      <c r="G210" s="85" t="s">
        <v>156</v>
      </c>
      <c r="H210" s="72">
        <v>25</v>
      </c>
      <c r="I210" s="74"/>
      <c r="J210" s="74"/>
    </row>
    <row r="211" spans="1:10" x14ac:dyDescent="0.25">
      <c r="A211" s="75">
        <v>42311</v>
      </c>
      <c r="B211" s="76">
        <v>0.72916666666666663</v>
      </c>
      <c r="C211" s="37" t="s">
        <v>154</v>
      </c>
      <c r="D211" s="74" t="s">
        <v>34</v>
      </c>
      <c r="E211" s="74" t="s">
        <v>128</v>
      </c>
      <c r="F211" s="74" t="s">
        <v>27</v>
      </c>
      <c r="G211" s="74" t="s">
        <v>126</v>
      </c>
      <c r="H211" s="74">
        <v>20</v>
      </c>
    </row>
    <row r="212" spans="1:10" x14ac:dyDescent="0.25">
      <c r="A212" s="34">
        <v>42312</v>
      </c>
      <c r="B212" s="35">
        <v>0.375</v>
      </c>
      <c r="C212" s="36" t="s">
        <v>24</v>
      </c>
      <c r="D212" s="37" t="s">
        <v>13</v>
      </c>
      <c r="E212" s="37" t="s">
        <v>14</v>
      </c>
      <c r="F212" s="38" t="s">
        <v>143</v>
      </c>
      <c r="G212" s="39" t="s">
        <v>147</v>
      </c>
      <c r="H212" s="44">
        <v>20</v>
      </c>
    </row>
    <row r="213" spans="1:10" x14ac:dyDescent="0.25">
      <c r="A213" s="41">
        <v>42312</v>
      </c>
      <c r="B213" s="43">
        <v>0.41666666666666669</v>
      </c>
      <c r="C213" s="37" t="s">
        <v>31</v>
      </c>
      <c r="D213" s="37" t="s">
        <v>13</v>
      </c>
      <c r="E213" s="37" t="s">
        <v>14</v>
      </c>
      <c r="F213" s="37" t="s">
        <v>143</v>
      </c>
      <c r="G213" s="37" t="s">
        <v>147</v>
      </c>
      <c r="H213" s="44">
        <v>27</v>
      </c>
      <c r="I213" s="74"/>
      <c r="J213" s="74"/>
    </row>
    <row r="214" spans="1:10" x14ac:dyDescent="0.25">
      <c r="A214" s="34">
        <v>42312</v>
      </c>
      <c r="B214" s="35">
        <v>0.58333333333333337</v>
      </c>
      <c r="C214" s="36" t="s">
        <v>26</v>
      </c>
      <c r="D214" s="37" t="s">
        <v>13</v>
      </c>
      <c r="E214" s="37" t="s">
        <v>14</v>
      </c>
      <c r="F214" s="38" t="s">
        <v>29</v>
      </c>
      <c r="G214" s="39" t="s">
        <v>210</v>
      </c>
      <c r="H214" s="44">
        <v>25</v>
      </c>
    </row>
    <row r="215" spans="1:10" x14ac:dyDescent="0.25">
      <c r="A215" s="75">
        <v>42312</v>
      </c>
      <c r="B215" s="76">
        <v>0.72916666666666663</v>
      </c>
      <c r="C215" s="37" t="s">
        <v>154</v>
      </c>
      <c r="D215" s="74" t="s">
        <v>34</v>
      </c>
      <c r="E215" s="74" t="s">
        <v>128</v>
      </c>
      <c r="F215" s="74" t="s">
        <v>57</v>
      </c>
      <c r="G215" s="74" t="s">
        <v>152</v>
      </c>
      <c r="H215" s="74">
        <v>13</v>
      </c>
      <c r="I215" s="74"/>
      <c r="J215" s="74"/>
    </row>
    <row r="216" spans="1:10" x14ac:dyDescent="0.25">
      <c r="A216" s="75">
        <v>42312</v>
      </c>
      <c r="B216" s="76">
        <v>0.75</v>
      </c>
      <c r="C216" s="74" t="s">
        <v>33</v>
      </c>
      <c r="D216" s="74" t="s">
        <v>34</v>
      </c>
      <c r="E216" s="74" t="s">
        <v>127</v>
      </c>
      <c r="F216" s="74" t="s">
        <v>29</v>
      </c>
      <c r="G216" s="74" t="s">
        <v>153</v>
      </c>
      <c r="H216" s="74">
        <v>14</v>
      </c>
      <c r="I216" s="74"/>
      <c r="J216" s="74"/>
    </row>
    <row r="217" spans="1:10" x14ac:dyDescent="0.25">
      <c r="A217" s="70">
        <v>42314</v>
      </c>
      <c r="B217" s="71">
        <v>0.41666666666666669</v>
      </c>
      <c r="C217" s="74" t="s">
        <v>36</v>
      </c>
      <c r="D217" s="2" t="s">
        <v>44</v>
      </c>
      <c r="E217" s="2" t="s">
        <v>41</v>
      </c>
      <c r="F217" s="2" t="s">
        <v>29</v>
      </c>
      <c r="G217" s="85" t="s">
        <v>156</v>
      </c>
      <c r="H217" s="72">
        <v>25</v>
      </c>
      <c r="I217" s="1"/>
    </row>
    <row r="218" spans="1:10" x14ac:dyDescent="0.25">
      <c r="A218" s="34">
        <v>42317</v>
      </c>
      <c r="B218" s="35">
        <v>0.75</v>
      </c>
      <c r="C218" s="36" t="s">
        <v>17</v>
      </c>
      <c r="D218" s="37" t="s">
        <v>13</v>
      </c>
      <c r="E218" s="37" t="s">
        <v>14</v>
      </c>
      <c r="F218" s="38" t="s">
        <v>29</v>
      </c>
      <c r="G218" s="39" t="s">
        <v>148</v>
      </c>
      <c r="H218" s="44">
        <v>20</v>
      </c>
      <c r="I218" s="74"/>
      <c r="J218" s="74"/>
    </row>
    <row r="219" spans="1:10" x14ac:dyDescent="0.25">
      <c r="A219" s="34">
        <v>42320</v>
      </c>
      <c r="B219" s="35">
        <v>0.66666666666666663</v>
      </c>
      <c r="C219" s="36" t="s">
        <v>20</v>
      </c>
      <c r="D219" s="37" t="s">
        <v>13</v>
      </c>
      <c r="E219" s="37" t="s">
        <v>14</v>
      </c>
      <c r="F219" s="38" t="s">
        <v>29</v>
      </c>
      <c r="G219" s="39" t="s">
        <v>149</v>
      </c>
      <c r="H219" s="44">
        <v>20</v>
      </c>
      <c r="I219" s="74"/>
      <c r="J219" s="74"/>
    </row>
    <row r="220" spans="1:10" x14ac:dyDescent="0.25">
      <c r="A220" s="34">
        <v>42324</v>
      </c>
      <c r="B220" s="38">
        <v>0.75</v>
      </c>
      <c r="C220" s="36" t="s">
        <v>31</v>
      </c>
      <c r="D220" s="37" t="s">
        <v>13</v>
      </c>
      <c r="E220" s="37" t="s">
        <v>14</v>
      </c>
      <c r="F220" s="38" t="s">
        <v>29</v>
      </c>
      <c r="G220" s="39" t="s">
        <v>30</v>
      </c>
      <c r="H220" s="44">
        <v>25</v>
      </c>
      <c r="J220" s="74"/>
    </row>
    <row r="221" spans="1:10" x14ac:dyDescent="0.25">
      <c r="A221" s="34">
        <v>42325</v>
      </c>
      <c r="B221" s="35">
        <v>0.375</v>
      </c>
      <c r="C221" s="36" t="s">
        <v>20</v>
      </c>
      <c r="D221" s="37" t="s">
        <v>13</v>
      </c>
      <c r="E221" s="37" t="s">
        <v>14</v>
      </c>
      <c r="F221" s="38" t="s">
        <v>29</v>
      </c>
      <c r="G221" s="39" t="s">
        <v>56</v>
      </c>
      <c r="H221" s="44">
        <v>20</v>
      </c>
      <c r="J221" s="74"/>
    </row>
    <row r="222" spans="1:10" x14ac:dyDescent="0.25">
      <c r="A222" s="34">
        <v>42325</v>
      </c>
      <c r="B222" s="35">
        <v>0.45833333333333331</v>
      </c>
      <c r="C222" s="36" t="s">
        <v>26</v>
      </c>
      <c r="D222" s="37" t="s">
        <v>13</v>
      </c>
      <c r="E222" s="37" t="s">
        <v>14</v>
      </c>
      <c r="F222" s="38" t="s">
        <v>29</v>
      </c>
      <c r="G222" s="39" t="s">
        <v>56</v>
      </c>
      <c r="H222" s="44">
        <v>20</v>
      </c>
      <c r="I222" s="74"/>
      <c r="J222" s="74"/>
    </row>
    <row r="223" spans="1:10" x14ac:dyDescent="0.25">
      <c r="A223" s="34">
        <v>42326</v>
      </c>
      <c r="B223" s="35">
        <v>0.375</v>
      </c>
      <c r="C223" s="36" t="s">
        <v>20</v>
      </c>
      <c r="D223" s="37" t="s">
        <v>13</v>
      </c>
      <c r="E223" s="37" t="s">
        <v>14</v>
      </c>
      <c r="F223" s="38" t="s">
        <v>29</v>
      </c>
      <c r="G223" s="39" t="s">
        <v>56</v>
      </c>
      <c r="H223" s="44">
        <v>20</v>
      </c>
      <c r="I223" s="1"/>
    </row>
    <row r="224" spans="1:10" x14ac:dyDescent="0.25">
      <c r="A224" s="70">
        <v>42326</v>
      </c>
      <c r="B224" s="71">
        <v>0.41666666666666669</v>
      </c>
      <c r="C224" s="74" t="s">
        <v>36</v>
      </c>
      <c r="D224" s="2" t="s">
        <v>44</v>
      </c>
      <c r="E224" s="2" t="s">
        <v>37</v>
      </c>
      <c r="F224" s="2" t="s">
        <v>57</v>
      </c>
      <c r="G224" s="85" t="s">
        <v>155</v>
      </c>
      <c r="H224" s="72">
        <v>25</v>
      </c>
      <c r="I224" s="1"/>
      <c r="J224" s="74"/>
    </row>
    <row r="225" spans="1:10" x14ac:dyDescent="0.25">
      <c r="A225" s="70">
        <v>42326</v>
      </c>
      <c r="B225" s="71">
        <v>0.5</v>
      </c>
      <c r="C225" s="74" t="s">
        <v>36</v>
      </c>
      <c r="D225" s="2" t="s">
        <v>44</v>
      </c>
      <c r="E225" s="2" t="s">
        <v>37</v>
      </c>
      <c r="F225" s="2" t="s">
        <v>57</v>
      </c>
      <c r="G225" s="85" t="s">
        <v>155</v>
      </c>
      <c r="H225" s="72">
        <v>25</v>
      </c>
      <c r="I225" s="74"/>
      <c r="J225" s="74"/>
    </row>
    <row r="226" spans="1:10" x14ac:dyDescent="0.25">
      <c r="A226" s="34">
        <v>42326</v>
      </c>
      <c r="B226" s="35">
        <v>0.5</v>
      </c>
      <c r="C226" s="36" t="s">
        <v>12</v>
      </c>
      <c r="D226" s="37" t="s">
        <v>13</v>
      </c>
      <c r="E226" s="37" t="s">
        <v>14</v>
      </c>
      <c r="F226" s="38" t="s">
        <v>29</v>
      </c>
      <c r="G226" s="39" t="s">
        <v>56</v>
      </c>
      <c r="H226" s="44">
        <v>18</v>
      </c>
      <c r="I226" s="26"/>
    </row>
    <row r="227" spans="1:10" x14ac:dyDescent="0.25">
      <c r="A227" s="34">
        <v>42326</v>
      </c>
      <c r="B227" s="35">
        <v>0.70833333333333337</v>
      </c>
      <c r="C227" s="36" t="s">
        <v>26</v>
      </c>
      <c r="D227" s="37" t="s">
        <v>13</v>
      </c>
      <c r="E227" s="37" t="s">
        <v>14</v>
      </c>
      <c r="F227" s="38" t="s">
        <v>29</v>
      </c>
      <c r="G227" s="39" t="s">
        <v>66</v>
      </c>
      <c r="H227" s="24">
        <v>20</v>
      </c>
      <c r="I227" s="26"/>
    </row>
    <row r="228" spans="1:10" x14ac:dyDescent="0.25">
      <c r="A228" s="41">
        <v>42331</v>
      </c>
      <c r="B228" s="43">
        <v>0.45833333333333331</v>
      </c>
      <c r="C228" s="37" t="s">
        <v>12</v>
      </c>
      <c r="D228" s="37" t="s">
        <v>13</v>
      </c>
      <c r="E228" s="37" t="s">
        <v>14</v>
      </c>
      <c r="F228" s="37" t="s">
        <v>27</v>
      </c>
      <c r="G228" s="37" t="s">
        <v>100</v>
      </c>
      <c r="H228" s="44">
        <v>20</v>
      </c>
      <c r="I228" s="74"/>
      <c r="J228" s="74"/>
    </row>
    <row r="229" spans="1:10" x14ac:dyDescent="0.25">
      <c r="A229" s="41">
        <v>42331</v>
      </c>
      <c r="B229" s="43">
        <v>0.5</v>
      </c>
      <c r="C229" s="37" t="s">
        <v>20</v>
      </c>
      <c r="D229" s="37" t="s">
        <v>13</v>
      </c>
      <c r="E229" s="37" t="s">
        <v>14</v>
      </c>
      <c r="F229" s="37" t="s">
        <v>27</v>
      </c>
      <c r="G229" s="37" t="s">
        <v>100</v>
      </c>
      <c r="H229" s="44">
        <v>17</v>
      </c>
      <c r="I229" s="26"/>
      <c r="J229" s="74"/>
    </row>
    <row r="230" spans="1:10" x14ac:dyDescent="0.25">
      <c r="A230" s="41">
        <v>42332</v>
      </c>
      <c r="B230" s="43">
        <v>0.45833333333333331</v>
      </c>
      <c r="C230" s="37" t="s">
        <v>24</v>
      </c>
      <c r="D230" s="37" t="s">
        <v>13</v>
      </c>
      <c r="E230" s="37" t="s">
        <v>14</v>
      </c>
      <c r="F230" s="37" t="s">
        <v>150</v>
      </c>
      <c r="G230" s="37" t="s">
        <v>118</v>
      </c>
      <c r="H230" s="44">
        <v>20</v>
      </c>
      <c r="I230" s="74"/>
      <c r="J230" s="74"/>
    </row>
    <row r="231" spans="1:10" x14ac:dyDescent="0.25">
      <c r="A231" s="10">
        <v>42376</v>
      </c>
      <c r="B231" s="11">
        <v>0.75</v>
      </c>
      <c r="C231" s="12" t="s">
        <v>12</v>
      </c>
      <c r="D231" s="12" t="s">
        <v>13</v>
      </c>
      <c r="E231" s="12" t="s">
        <v>14</v>
      </c>
      <c r="F231" s="12" t="s">
        <v>157</v>
      </c>
      <c r="G231" s="13" t="s">
        <v>158</v>
      </c>
      <c r="H231" s="12">
        <v>13</v>
      </c>
    </row>
    <row r="232" spans="1:10" x14ac:dyDescent="0.25">
      <c r="A232" s="75">
        <v>42376</v>
      </c>
      <c r="B232" s="76">
        <v>0.76388888888888884</v>
      </c>
      <c r="C232" s="86" t="s">
        <v>154</v>
      </c>
      <c r="D232" s="74" t="s">
        <v>34</v>
      </c>
      <c r="E232" s="74" t="s">
        <v>173</v>
      </c>
      <c r="F232" s="74" t="s">
        <v>103</v>
      </c>
      <c r="G232" s="74" t="s">
        <v>172</v>
      </c>
      <c r="H232" s="74">
        <v>20</v>
      </c>
    </row>
    <row r="233" spans="1:10" x14ac:dyDescent="0.25">
      <c r="A233" s="10">
        <v>42381</v>
      </c>
      <c r="B233" s="11">
        <v>0.45833333333333331</v>
      </c>
      <c r="C233" s="12" t="s">
        <v>31</v>
      </c>
      <c r="D233" s="12" t="s">
        <v>13</v>
      </c>
      <c r="E233" s="12" t="s">
        <v>14</v>
      </c>
      <c r="F233" s="12" t="s">
        <v>15</v>
      </c>
      <c r="G233" s="13" t="s">
        <v>16</v>
      </c>
      <c r="H233" s="12">
        <v>32</v>
      </c>
    </row>
    <row r="234" spans="1:10" x14ac:dyDescent="0.25">
      <c r="A234" s="47">
        <v>42381</v>
      </c>
      <c r="B234" s="27">
        <v>0.52083333333333337</v>
      </c>
      <c r="C234" s="49" t="s">
        <v>20</v>
      </c>
      <c r="D234" s="12" t="s">
        <v>13</v>
      </c>
      <c r="E234" s="12" t="s">
        <v>14</v>
      </c>
      <c r="F234" s="27" t="s">
        <v>15</v>
      </c>
      <c r="G234" s="50" t="s">
        <v>16</v>
      </c>
      <c r="H234" s="12">
        <v>35</v>
      </c>
    </row>
    <row r="235" spans="1:10" x14ac:dyDescent="0.25">
      <c r="A235" s="10">
        <v>42383</v>
      </c>
      <c r="B235" s="11">
        <v>0.75</v>
      </c>
      <c r="C235" s="12" t="s">
        <v>12</v>
      </c>
      <c r="D235" s="12" t="s">
        <v>13</v>
      </c>
      <c r="E235" s="12" t="s">
        <v>159</v>
      </c>
      <c r="F235" s="12" t="s">
        <v>160</v>
      </c>
      <c r="G235" s="13" t="s">
        <v>161</v>
      </c>
      <c r="H235" s="12">
        <v>25</v>
      </c>
    </row>
    <row r="236" spans="1:10" x14ac:dyDescent="0.25">
      <c r="A236" s="47">
        <v>42388</v>
      </c>
      <c r="B236" s="48">
        <v>0.33333333333333331</v>
      </c>
      <c r="C236" s="49" t="s">
        <v>24</v>
      </c>
      <c r="D236" s="12" t="s">
        <v>13</v>
      </c>
      <c r="E236" s="12" t="s">
        <v>14</v>
      </c>
      <c r="F236" s="27" t="s">
        <v>27</v>
      </c>
      <c r="G236" s="50" t="s">
        <v>56</v>
      </c>
      <c r="H236" s="12">
        <v>20</v>
      </c>
    </row>
    <row r="237" spans="1:10" x14ac:dyDescent="0.25">
      <c r="A237" s="34">
        <v>42388</v>
      </c>
      <c r="B237" s="38">
        <v>0.39583333333333331</v>
      </c>
      <c r="C237" s="37" t="s">
        <v>12</v>
      </c>
      <c r="D237" s="37" t="s">
        <v>13</v>
      </c>
      <c r="E237" s="37" t="s">
        <v>14</v>
      </c>
      <c r="F237" s="38" t="s">
        <v>27</v>
      </c>
      <c r="G237" s="40" t="s">
        <v>56</v>
      </c>
      <c r="H237" s="37">
        <v>25</v>
      </c>
    </row>
    <row r="238" spans="1:10" x14ac:dyDescent="0.25">
      <c r="A238" s="47">
        <v>42388</v>
      </c>
      <c r="B238" s="48">
        <v>0.52083333333333337</v>
      </c>
      <c r="C238" s="49" t="s">
        <v>12</v>
      </c>
      <c r="D238" s="12" t="s">
        <v>13</v>
      </c>
      <c r="E238" s="12" t="s">
        <v>14</v>
      </c>
      <c r="F238" s="27" t="s">
        <v>71</v>
      </c>
      <c r="G238" s="50" t="s">
        <v>162</v>
      </c>
      <c r="H238" s="12">
        <v>15</v>
      </c>
      <c r="J238" s="74"/>
    </row>
    <row r="239" spans="1:10" x14ac:dyDescent="0.25">
      <c r="A239" s="34">
        <v>42388</v>
      </c>
      <c r="B239" s="38">
        <v>0.58333333333333337</v>
      </c>
      <c r="C239" s="37" t="s">
        <v>26</v>
      </c>
      <c r="D239" s="37" t="s">
        <v>13</v>
      </c>
      <c r="E239" s="37" t="s">
        <v>14</v>
      </c>
      <c r="F239" s="38" t="s">
        <v>27</v>
      </c>
      <c r="G239" s="40" t="s">
        <v>56</v>
      </c>
      <c r="H239" s="23">
        <v>25</v>
      </c>
    </row>
    <row r="240" spans="1:10" x14ac:dyDescent="0.25">
      <c r="A240" s="70">
        <v>42388</v>
      </c>
      <c r="B240" s="71">
        <v>0.70833333333333337</v>
      </c>
      <c r="C240" s="2" t="s">
        <v>84</v>
      </c>
      <c r="D240" s="12" t="s">
        <v>44</v>
      </c>
      <c r="E240" s="2" t="s">
        <v>37</v>
      </c>
      <c r="F240" s="2" t="s">
        <v>23</v>
      </c>
      <c r="G240" s="1"/>
      <c r="H240" s="72">
        <v>2</v>
      </c>
      <c r="I240" s="74"/>
      <c r="J240" s="74"/>
    </row>
    <row r="241" spans="1:10" x14ac:dyDescent="0.25">
      <c r="A241" s="47">
        <v>42388</v>
      </c>
      <c r="B241" s="48">
        <v>0.75</v>
      </c>
      <c r="C241" s="49" t="s">
        <v>31</v>
      </c>
      <c r="D241" s="12" t="s">
        <v>13</v>
      </c>
      <c r="E241" s="12" t="s">
        <v>14</v>
      </c>
      <c r="F241" s="27" t="s">
        <v>57</v>
      </c>
      <c r="G241" s="50" t="s">
        <v>100</v>
      </c>
      <c r="H241" s="12">
        <v>20</v>
      </c>
      <c r="I241" s="74"/>
      <c r="J241" s="74"/>
    </row>
    <row r="242" spans="1:10" x14ac:dyDescent="0.25">
      <c r="A242" s="41">
        <v>42389</v>
      </c>
      <c r="B242" s="43">
        <v>0.33333333333333331</v>
      </c>
      <c r="C242" s="37" t="s">
        <v>12</v>
      </c>
      <c r="D242" s="37" t="s">
        <v>13</v>
      </c>
      <c r="E242" s="37" t="s">
        <v>14</v>
      </c>
      <c r="F242" s="37" t="s">
        <v>27</v>
      </c>
      <c r="G242" s="37" t="s">
        <v>50</v>
      </c>
      <c r="H242" s="87">
        <v>25</v>
      </c>
    </row>
    <row r="243" spans="1:10" x14ac:dyDescent="0.25">
      <c r="A243" s="41">
        <v>42389</v>
      </c>
      <c r="B243" s="43">
        <v>0.39583333333333331</v>
      </c>
      <c r="C243" s="37" t="s">
        <v>17</v>
      </c>
      <c r="D243" s="37" t="s">
        <v>13</v>
      </c>
      <c r="E243" s="37" t="s">
        <v>14</v>
      </c>
      <c r="F243" s="37" t="s">
        <v>27</v>
      </c>
      <c r="G243" s="37" t="s">
        <v>50</v>
      </c>
      <c r="H243" s="44">
        <v>20</v>
      </c>
    </row>
    <row r="244" spans="1:10" x14ac:dyDescent="0.25">
      <c r="A244" s="75">
        <v>42389</v>
      </c>
      <c r="B244" s="76">
        <v>0.58333333333333337</v>
      </c>
      <c r="C244" s="67" t="s">
        <v>33</v>
      </c>
      <c r="D244" s="74" t="s">
        <v>34</v>
      </c>
      <c r="E244" s="74" t="s">
        <v>35</v>
      </c>
      <c r="F244" s="76" t="s">
        <v>23</v>
      </c>
      <c r="G244" s="74"/>
      <c r="H244" s="74">
        <v>3</v>
      </c>
      <c r="I244" s="25"/>
    </row>
    <row r="245" spans="1:10" x14ac:dyDescent="0.25">
      <c r="A245" s="34">
        <v>42389</v>
      </c>
      <c r="B245" s="38">
        <v>0.75</v>
      </c>
      <c r="C245" s="37" t="s">
        <v>26</v>
      </c>
      <c r="D245" s="37" t="s">
        <v>13</v>
      </c>
      <c r="E245" s="37" t="s">
        <v>14</v>
      </c>
      <c r="F245" s="38" t="s">
        <v>163</v>
      </c>
      <c r="G245" s="37" t="s">
        <v>164</v>
      </c>
      <c r="H245" s="37">
        <v>15</v>
      </c>
      <c r="I245" s="74"/>
    </row>
    <row r="246" spans="1:10" x14ac:dyDescent="0.25">
      <c r="A246" s="34">
        <v>42389</v>
      </c>
      <c r="B246" s="38">
        <v>0.79166666666666663</v>
      </c>
      <c r="C246" s="37" t="s">
        <v>12</v>
      </c>
      <c r="D246" s="37" t="s">
        <v>13</v>
      </c>
      <c r="E246" s="37" t="s">
        <v>14</v>
      </c>
      <c r="F246" s="38" t="s">
        <v>15</v>
      </c>
      <c r="G246" s="37" t="s">
        <v>16</v>
      </c>
      <c r="H246" s="23">
        <v>33</v>
      </c>
      <c r="I246" s="74"/>
    </row>
    <row r="247" spans="1:10" x14ac:dyDescent="0.25">
      <c r="A247" s="47">
        <v>42390</v>
      </c>
      <c r="B247" s="48">
        <v>0.45833333333333331</v>
      </c>
      <c r="C247" s="49" t="s">
        <v>24</v>
      </c>
      <c r="D247" s="12" t="s">
        <v>13</v>
      </c>
      <c r="E247" s="12" t="s">
        <v>14</v>
      </c>
      <c r="F247" s="27" t="s">
        <v>57</v>
      </c>
      <c r="G247" s="50" t="s">
        <v>58</v>
      </c>
      <c r="H247" s="12">
        <v>25</v>
      </c>
    </row>
    <row r="248" spans="1:10" x14ac:dyDescent="0.25">
      <c r="A248" s="75">
        <v>42390</v>
      </c>
      <c r="B248" s="76">
        <v>0.52083333333333337</v>
      </c>
      <c r="C248" s="74" t="s">
        <v>33</v>
      </c>
      <c r="D248" s="74" t="s">
        <v>34</v>
      </c>
      <c r="E248" s="74" t="s">
        <v>35</v>
      </c>
      <c r="F248" s="76" t="s">
        <v>23</v>
      </c>
      <c r="G248" s="74"/>
      <c r="H248" s="74">
        <v>8</v>
      </c>
      <c r="I248" s="74"/>
    </row>
    <row r="249" spans="1:10" x14ac:dyDescent="0.25">
      <c r="A249" s="70">
        <v>42390</v>
      </c>
      <c r="B249" s="71">
        <v>0.52083333333333337</v>
      </c>
      <c r="C249" s="2" t="s">
        <v>36</v>
      </c>
      <c r="D249" s="12" t="s">
        <v>44</v>
      </c>
      <c r="E249" s="2" t="s">
        <v>37</v>
      </c>
      <c r="F249" s="2" t="s">
        <v>23</v>
      </c>
      <c r="G249" s="1"/>
      <c r="H249" s="72">
        <v>2</v>
      </c>
      <c r="J249" s="74"/>
    </row>
    <row r="250" spans="1:10" x14ac:dyDescent="0.25">
      <c r="A250" s="47">
        <v>42390</v>
      </c>
      <c r="B250" s="48">
        <v>0.53125</v>
      </c>
      <c r="C250" s="37" t="s">
        <v>17</v>
      </c>
      <c r="D250" s="12" t="s">
        <v>13</v>
      </c>
      <c r="E250" s="12" t="s">
        <v>14</v>
      </c>
      <c r="F250" s="27" t="s">
        <v>23</v>
      </c>
      <c r="G250" s="28"/>
      <c r="H250" s="28">
        <v>10</v>
      </c>
      <c r="I250" s="74"/>
      <c r="J250" s="74"/>
    </row>
    <row r="251" spans="1:10" x14ac:dyDescent="0.25">
      <c r="A251" s="70">
        <v>42390</v>
      </c>
      <c r="B251" s="71">
        <v>0.58333333333333337</v>
      </c>
      <c r="C251" s="2" t="s">
        <v>36</v>
      </c>
      <c r="D251" s="12" t="s">
        <v>44</v>
      </c>
      <c r="E251" s="2" t="s">
        <v>37</v>
      </c>
      <c r="F251" s="2" t="s">
        <v>23</v>
      </c>
      <c r="G251" s="1"/>
      <c r="H251" s="72">
        <v>1</v>
      </c>
      <c r="I251" s="74"/>
    </row>
    <row r="252" spans="1:10" x14ac:dyDescent="0.25">
      <c r="A252" s="47">
        <v>42390</v>
      </c>
      <c r="B252" s="48">
        <v>0.64583333333333337</v>
      </c>
      <c r="C252" s="49" t="s">
        <v>12</v>
      </c>
      <c r="D252" s="12" t="s">
        <v>13</v>
      </c>
      <c r="E252" s="12" t="s">
        <v>14</v>
      </c>
      <c r="F252" s="27" t="s">
        <v>23</v>
      </c>
      <c r="G252" s="50"/>
      <c r="H252" s="51">
        <v>10</v>
      </c>
      <c r="I252" s="74"/>
    </row>
    <row r="253" spans="1:10" x14ac:dyDescent="0.25">
      <c r="A253" s="47">
        <v>42394</v>
      </c>
      <c r="B253" s="48">
        <v>0.33333333333333331</v>
      </c>
      <c r="C253" s="49" t="s">
        <v>12</v>
      </c>
      <c r="D253" s="12" t="s">
        <v>13</v>
      </c>
      <c r="E253" s="12" t="s">
        <v>14</v>
      </c>
      <c r="F253" s="27" t="s">
        <v>165</v>
      </c>
      <c r="G253" s="50" t="s">
        <v>60</v>
      </c>
      <c r="H253" s="51">
        <v>25</v>
      </c>
    </row>
    <row r="254" spans="1:10" x14ac:dyDescent="0.25">
      <c r="A254" s="47">
        <v>42394</v>
      </c>
      <c r="B254" s="48">
        <v>0.39583333333333331</v>
      </c>
      <c r="C254" s="49" t="s">
        <v>17</v>
      </c>
      <c r="D254" s="12" t="s">
        <v>13</v>
      </c>
      <c r="E254" s="12" t="s">
        <v>14</v>
      </c>
      <c r="F254" s="27" t="s">
        <v>27</v>
      </c>
      <c r="G254" s="50" t="s">
        <v>166</v>
      </c>
      <c r="H254" s="51">
        <v>25</v>
      </c>
      <c r="I254" s="74"/>
    </row>
    <row r="255" spans="1:10" x14ac:dyDescent="0.25">
      <c r="A255" s="47">
        <v>42394</v>
      </c>
      <c r="B255" s="48">
        <v>0.45833333333333331</v>
      </c>
      <c r="C255" s="49" t="s">
        <v>12</v>
      </c>
      <c r="D255" s="37" t="s">
        <v>13</v>
      </c>
      <c r="E255" s="12" t="s">
        <v>14</v>
      </c>
      <c r="F255" s="27" t="s">
        <v>167</v>
      </c>
      <c r="G255" s="27" t="s">
        <v>60</v>
      </c>
      <c r="H255" s="51">
        <v>15</v>
      </c>
      <c r="I255" s="74"/>
    </row>
    <row r="256" spans="1:10" x14ac:dyDescent="0.25">
      <c r="A256" s="70">
        <v>42394</v>
      </c>
      <c r="B256" s="71">
        <v>0.52083333333333337</v>
      </c>
      <c r="C256" s="2" t="s">
        <v>36</v>
      </c>
      <c r="D256" s="12" t="s">
        <v>44</v>
      </c>
      <c r="E256" s="2" t="s">
        <v>37</v>
      </c>
      <c r="F256" s="2" t="s">
        <v>23</v>
      </c>
      <c r="G256" s="1"/>
      <c r="H256" s="72">
        <v>4</v>
      </c>
    </row>
    <row r="257" spans="1:9" x14ac:dyDescent="0.25">
      <c r="A257" s="47">
        <v>42394</v>
      </c>
      <c r="B257" s="48">
        <v>0.52083333333333337</v>
      </c>
      <c r="C257" s="49" t="s">
        <v>20</v>
      </c>
      <c r="D257" s="12" t="s">
        <v>13</v>
      </c>
      <c r="E257" s="12" t="s">
        <v>14</v>
      </c>
      <c r="F257" s="27" t="s">
        <v>23</v>
      </c>
      <c r="G257" s="50"/>
      <c r="H257" s="51">
        <v>10</v>
      </c>
      <c r="I257" s="74"/>
    </row>
    <row r="258" spans="1:9" x14ac:dyDescent="0.25">
      <c r="A258" s="70">
        <v>42394</v>
      </c>
      <c r="B258" s="71">
        <v>0.64583333333333337</v>
      </c>
      <c r="C258" s="2" t="s">
        <v>36</v>
      </c>
      <c r="D258" s="12" t="s">
        <v>44</v>
      </c>
      <c r="E258" s="2" t="s">
        <v>37</v>
      </c>
      <c r="F258" s="2" t="s">
        <v>23</v>
      </c>
      <c r="G258" s="1"/>
      <c r="H258" s="72">
        <v>6</v>
      </c>
      <c r="I258" s="74"/>
    </row>
    <row r="259" spans="1:9" x14ac:dyDescent="0.25">
      <c r="A259" s="47">
        <v>42394</v>
      </c>
      <c r="B259" s="48">
        <v>0.64583333333333337</v>
      </c>
      <c r="C259" s="49" t="s">
        <v>31</v>
      </c>
      <c r="D259" s="12" t="s">
        <v>13</v>
      </c>
      <c r="E259" s="12" t="s">
        <v>14</v>
      </c>
      <c r="F259" s="27" t="s">
        <v>23</v>
      </c>
      <c r="G259" s="50"/>
      <c r="H259" s="51">
        <v>5</v>
      </c>
      <c r="I259" s="74"/>
    </row>
    <row r="260" spans="1:9" x14ac:dyDescent="0.25">
      <c r="A260" s="70">
        <v>42394</v>
      </c>
      <c r="B260" s="71">
        <v>0.70833333333333337</v>
      </c>
      <c r="C260" s="2" t="s">
        <v>84</v>
      </c>
      <c r="D260" s="12" t="s">
        <v>44</v>
      </c>
      <c r="E260" s="2" t="s">
        <v>37</v>
      </c>
      <c r="F260" s="2" t="s">
        <v>23</v>
      </c>
      <c r="G260" s="1"/>
      <c r="H260" s="72">
        <v>3</v>
      </c>
    </row>
    <row r="261" spans="1:9" x14ac:dyDescent="0.25">
      <c r="A261" s="47">
        <v>42395</v>
      </c>
      <c r="B261" s="48">
        <v>0.75</v>
      </c>
      <c r="C261" s="49" t="s">
        <v>26</v>
      </c>
      <c r="D261" s="37" t="s">
        <v>13</v>
      </c>
      <c r="E261" s="12" t="s">
        <v>168</v>
      </c>
      <c r="F261" s="27" t="s">
        <v>169</v>
      </c>
      <c r="G261" s="50" t="s">
        <v>69</v>
      </c>
      <c r="H261" s="28">
        <v>20</v>
      </c>
    </row>
    <row r="262" spans="1:9" x14ac:dyDescent="0.25">
      <c r="A262" s="70">
        <v>42396</v>
      </c>
      <c r="B262" s="71">
        <v>8.3333333333333329E-2</v>
      </c>
      <c r="C262" s="2" t="s">
        <v>36</v>
      </c>
      <c r="D262" s="12" t="s">
        <v>44</v>
      </c>
      <c r="E262" s="2" t="s">
        <v>37</v>
      </c>
      <c r="F262" s="2" t="s">
        <v>57</v>
      </c>
      <c r="G262" s="85" t="s">
        <v>83</v>
      </c>
      <c r="H262" s="72">
        <v>25</v>
      </c>
      <c r="I262" s="74"/>
    </row>
    <row r="263" spans="1:9" x14ac:dyDescent="0.25">
      <c r="A263" s="70">
        <v>42396</v>
      </c>
      <c r="B263" s="71">
        <v>0.39583333333333331</v>
      </c>
      <c r="C263" s="2" t="s">
        <v>36</v>
      </c>
      <c r="D263" s="12" t="s">
        <v>44</v>
      </c>
      <c r="E263" s="2" t="s">
        <v>37</v>
      </c>
      <c r="F263" s="2" t="s">
        <v>57</v>
      </c>
      <c r="G263" s="85" t="s">
        <v>83</v>
      </c>
      <c r="H263" s="72">
        <v>25</v>
      </c>
      <c r="I263" s="74"/>
    </row>
    <row r="264" spans="1:9" x14ac:dyDescent="0.25">
      <c r="A264" s="70">
        <v>42396</v>
      </c>
      <c r="B264" s="71">
        <v>0.45833333333333331</v>
      </c>
      <c r="C264" s="2" t="s">
        <v>36</v>
      </c>
      <c r="D264" s="12" t="s">
        <v>44</v>
      </c>
      <c r="E264" s="2" t="s">
        <v>37</v>
      </c>
      <c r="F264" s="2" t="s">
        <v>57</v>
      </c>
      <c r="G264" s="85" t="s">
        <v>83</v>
      </c>
      <c r="H264" s="72">
        <v>25</v>
      </c>
      <c r="I264" s="74"/>
    </row>
    <row r="265" spans="1:9" x14ac:dyDescent="0.25">
      <c r="A265" s="47">
        <v>42396</v>
      </c>
      <c r="B265" s="48">
        <v>0.45833333333333331</v>
      </c>
      <c r="C265" s="49" t="s">
        <v>17</v>
      </c>
      <c r="D265" s="12" t="s">
        <v>13</v>
      </c>
      <c r="E265" s="12" t="s">
        <v>14</v>
      </c>
      <c r="F265" s="27" t="s">
        <v>106</v>
      </c>
      <c r="G265" s="50" t="s">
        <v>170</v>
      </c>
      <c r="H265" s="51">
        <v>25</v>
      </c>
      <c r="I265" s="25"/>
    </row>
    <row r="266" spans="1:9" x14ac:dyDescent="0.25">
      <c r="A266" s="47">
        <v>42396</v>
      </c>
      <c r="B266" s="48">
        <v>0.52083333333333337</v>
      </c>
      <c r="C266" s="49" t="s">
        <v>31</v>
      </c>
      <c r="D266" s="37" t="s">
        <v>13</v>
      </c>
      <c r="E266" s="12" t="s">
        <v>14</v>
      </c>
      <c r="F266" s="27" t="s">
        <v>27</v>
      </c>
      <c r="G266" s="50" t="s">
        <v>166</v>
      </c>
      <c r="H266" s="51">
        <v>20</v>
      </c>
      <c r="I266" s="74"/>
    </row>
    <row r="267" spans="1:9" x14ac:dyDescent="0.25">
      <c r="A267" s="47">
        <v>42396</v>
      </c>
      <c r="B267" s="48">
        <v>0.75</v>
      </c>
      <c r="C267" s="49" t="s">
        <v>24</v>
      </c>
      <c r="D267" s="37" t="s">
        <v>13</v>
      </c>
      <c r="E267" s="12" t="s">
        <v>14</v>
      </c>
      <c r="F267" s="27" t="s">
        <v>171</v>
      </c>
      <c r="G267" s="50" t="s">
        <v>69</v>
      </c>
      <c r="H267" s="28">
        <v>20</v>
      </c>
    </row>
    <row r="268" spans="1:9" x14ac:dyDescent="0.25">
      <c r="A268" s="70">
        <v>42397</v>
      </c>
      <c r="B268" s="71">
        <v>8.3333333333333329E-2</v>
      </c>
      <c r="C268" s="2" t="s">
        <v>36</v>
      </c>
      <c r="D268" s="12" t="s">
        <v>44</v>
      </c>
      <c r="E268" s="2" t="s">
        <v>37</v>
      </c>
      <c r="F268" s="2" t="s">
        <v>57</v>
      </c>
      <c r="G268" s="85" t="s">
        <v>83</v>
      </c>
      <c r="H268" s="72">
        <v>25</v>
      </c>
    </row>
    <row r="269" spans="1:9" x14ac:dyDescent="0.25">
      <c r="A269" s="70">
        <v>42397</v>
      </c>
      <c r="B269" s="71">
        <v>0.39583333333333331</v>
      </c>
      <c r="C269" s="2" t="s">
        <v>36</v>
      </c>
      <c r="D269" s="12" t="s">
        <v>44</v>
      </c>
      <c r="E269" s="2" t="s">
        <v>37</v>
      </c>
      <c r="F269" s="2" t="s">
        <v>57</v>
      </c>
      <c r="G269" s="85" t="s">
        <v>83</v>
      </c>
      <c r="H269" s="72">
        <v>25</v>
      </c>
    </row>
    <row r="270" spans="1:9" x14ac:dyDescent="0.25">
      <c r="A270" s="70">
        <v>42397</v>
      </c>
      <c r="B270" s="71">
        <v>0.45833333333333331</v>
      </c>
      <c r="C270" s="2" t="s">
        <v>36</v>
      </c>
      <c r="D270" s="12" t="s">
        <v>44</v>
      </c>
      <c r="E270" s="2" t="s">
        <v>37</v>
      </c>
      <c r="F270" s="2" t="s">
        <v>57</v>
      </c>
      <c r="G270" s="85" t="s">
        <v>83</v>
      </c>
      <c r="H270" s="72">
        <v>25</v>
      </c>
      <c r="I270" s="25"/>
    </row>
    <row r="271" spans="1:9" x14ac:dyDescent="0.25">
      <c r="A271" s="47">
        <v>42397</v>
      </c>
      <c r="B271" s="48">
        <v>0.5625</v>
      </c>
      <c r="C271" s="49" t="s">
        <v>26</v>
      </c>
      <c r="D271" s="12" t="s">
        <v>13</v>
      </c>
      <c r="E271" s="12" t="s">
        <v>14</v>
      </c>
      <c r="F271" s="27" t="s">
        <v>22</v>
      </c>
      <c r="G271" s="50" t="s">
        <v>21</v>
      </c>
      <c r="H271" s="51">
        <v>20</v>
      </c>
    </row>
    <row r="272" spans="1:9" x14ac:dyDescent="0.25">
      <c r="A272" s="47">
        <v>42397</v>
      </c>
      <c r="B272" s="48">
        <v>0.65625</v>
      </c>
      <c r="C272" s="49" t="s">
        <v>17</v>
      </c>
      <c r="D272" s="12" t="s">
        <v>13</v>
      </c>
      <c r="E272" s="12" t="s">
        <v>14</v>
      </c>
      <c r="F272" s="27" t="s">
        <v>22</v>
      </c>
      <c r="G272" s="50" t="s">
        <v>21</v>
      </c>
      <c r="H272" s="51">
        <v>23</v>
      </c>
    </row>
    <row r="273" spans="1:9" s="26" customFormat="1" x14ac:dyDescent="0.25">
      <c r="A273" s="10">
        <v>42397</v>
      </c>
      <c r="B273" s="11">
        <v>0.75</v>
      </c>
      <c r="C273" s="12" t="s">
        <v>20</v>
      </c>
      <c r="D273" s="12" t="s">
        <v>13</v>
      </c>
      <c r="E273" s="12" t="s">
        <v>14</v>
      </c>
      <c r="F273" s="12" t="s">
        <v>22</v>
      </c>
      <c r="G273" s="13" t="s">
        <v>21</v>
      </c>
      <c r="H273" s="12">
        <v>22</v>
      </c>
      <c r="I273" s="74"/>
    </row>
    <row r="274" spans="1:9" x14ac:dyDescent="0.25">
      <c r="A274" s="93">
        <v>42401</v>
      </c>
      <c r="B274" s="91">
        <v>0.39583333333333331</v>
      </c>
      <c r="C274" s="12" t="s">
        <v>33</v>
      </c>
      <c r="D274" s="12" t="s">
        <v>34</v>
      </c>
      <c r="E274" s="74"/>
      <c r="F274" s="14" t="s">
        <v>79</v>
      </c>
      <c r="G274" s="14" t="s">
        <v>93</v>
      </c>
      <c r="H274" s="90">
        <v>25</v>
      </c>
    </row>
    <row r="275" spans="1:9" x14ac:dyDescent="0.25">
      <c r="A275" s="93">
        <v>42401</v>
      </c>
      <c r="B275" s="91">
        <v>0.45833333333333331</v>
      </c>
      <c r="C275" s="12" t="s">
        <v>33</v>
      </c>
      <c r="D275" s="12" t="s">
        <v>34</v>
      </c>
      <c r="E275" s="74"/>
      <c r="F275" s="89" t="s">
        <v>94</v>
      </c>
      <c r="G275" s="14" t="s">
        <v>93</v>
      </c>
      <c r="H275" s="90">
        <v>24</v>
      </c>
      <c r="I275" s="25"/>
    </row>
    <row r="276" spans="1:9" x14ac:dyDescent="0.25">
      <c r="A276" s="41">
        <v>42401</v>
      </c>
      <c r="B276" s="42">
        <v>0.55555555555555558</v>
      </c>
      <c r="C276" s="37" t="s">
        <v>26</v>
      </c>
      <c r="D276" s="37" t="s">
        <v>13</v>
      </c>
      <c r="E276" s="37" t="s">
        <v>14</v>
      </c>
      <c r="F276" s="37" t="s">
        <v>22</v>
      </c>
      <c r="G276" s="37" t="s">
        <v>21</v>
      </c>
      <c r="H276" s="44">
        <v>20</v>
      </c>
    </row>
    <row r="277" spans="1:9" x14ac:dyDescent="0.25">
      <c r="A277" s="10">
        <v>42401</v>
      </c>
      <c r="B277" s="11">
        <v>0.8125</v>
      </c>
      <c r="C277" s="12" t="s">
        <v>20</v>
      </c>
      <c r="D277" s="12" t="s">
        <v>13</v>
      </c>
      <c r="E277" s="12" t="s">
        <v>14</v>
      </c>
      <c r="F277" s="12" t="s">
        <v>29</v>
      </c>
      <c r="G277" s="13" t="s">
        <v>148</v>
      </c>
      <c r="H277" s="12">
        <v>21</v>
      </c>
    </row>
    <row r="278" spans="1:9" x14ac:dyDescent="0.25">
      <c r="A278" s="41">
        <v>42402</v>
      </c>
      <c r="B278" s="42">
        <v>0.39583333333333331</v>
      </c>
      <c r="C278" s="37" t="s">
        <v>24</v>
      </c>
      <c r="D278" s="37" t="s">
        <v>13</v>
      </c>
      <c r="E278" s="37" t="s">
        <v>14</v>
      </c>
      <c r="F278" s="37" t="s">
        <v>27</v>
      </c>
      <c r="G278" s="37" t="s">
        <v>59</v>
      </c>
      <c r="H278" s="44">
        <v>25</v>
      </c>
    </row>
    <row r="279" spans="1:9" x14ac:dyDescent="0.25">
      <c r="A279" s="10">
        <v>42402</v>
      </c>
      <c r="B279" s="11">
        <v>0.72916666666666663</v>
      </c>
      <c r="C279" s="12" t="s">
        <v>31</v>
      </c>
      <c r="D279" s="12" t="s">
        <v>13</v>
      </c>
      <c r="E279" s="12" t="s">
        <v>14</v>
      </c>
      <c r="F279" s="12" t="s">
        <v>174</v>
      </c>
      <c r="G279" s="13" t="s">
        <v>175</v>
      </c>
      <c r="H279" s="12">
        <v>5</v>
      </c>
      <c r="I279" s="25"/>
    </row>
    <row r="280" spans="1:9" x14ac:dyDescent="0.25">
      <c r="A280" s="41">
        <v>42403</v>
      </c>
      <c r="B280" s="42">
        <v>0.39583333333333331</v>
      </c>
      <c r="C280" s="37" t="s">
        <v>24</v>
      </c>
      <c r="D280" s="37" t="s">
        <v>13</v>
      </c>
      <c r="E280" s="37" t="s">
        <v>14</v>
      </c>
      <c r="F280" s="37" t="s">
        <v>29</v>
      </c>
      <c r="G280" s="37" t="s">
        <v>56</v>
      </c>
      <c r="H280" s="44">
        <v>25</v>
      </c>
    </row>
    <row r="281" spans="1:9" x14ac:dyDescent="0.25">
      <c r="A281" s="10">
        <v>42403</v>
      </c>
      <c r="B281" s="11">
        <v>0.45833333333333331</v>
      </c>
      <c r="C281" s="12" t="s">
        <v>31</v>
      </c>
      <c r="D281" s="12" t="s">
        <v>13</v>
      </c>
      <c r="E281" s="12" t="s">
        <v>14</v>
      </c>
      <c r="F281" s="12" t="s">
        <v>29</v>
      </c>
      <c r="G281" s="13" t="s">
        <v>56</v>
      </c>
      <c r="H281" s="12">
        <v>15</v>
      </c>
    </row>
    <row r="282" spans="1:9" x14ac:dyDescent="0.25">
      <c r="A282" s="70">
        <v>42403</v>
      </c>
      <c r="B282" s="71">
        <v>0.52083333333333337</v>
      </c>
      <c r="C282" s="2" t="s">
        <v>36</v>
      </c>
      <c r="D282" s="12" t="s">
        <v>44</v>
      </c>
      <c r="E282" s="2" t="s">
        <v>41</v>
      </c>
      <c r="F282" s="2" t="s">
        <v>57</v>
      </c>
      <c r="G282" s="2" t="s">
        <v>82</v>
      </c>
      <c r="H282" s="72">
        <v>25</v>
      </c>
    </row>
    <row r="283" spans="1:9" x14ac:dyDescent="0.25">
      <c r="A283" s="47">
        <v>42403</v>
      </c>
      <c r="B283" s="48">
        <v>0.77083333333333337</v>
      </c>
      <c r="C283" s="49" t="s">
        <v>26</v>
      </c>
      <c r="D283" s="12" t="s">
        <v>13</v>
      </c>
      <c r="E283" s="12" t="s">
        <v>14</v>
      </c>
      <c r="F283" s="27" t="s">
        <v>57</v>
      </c>
      <c r="G283" s="50" t="s">
        <v>59</v>
      </c>
      <c r="H283" s="12">
        <v>20</v>
      </c>
      <c r="I283" s="25"/>
    </row>
    <row r="284" spans="1:9" x14ac:dyDescent="0.25">
      <c r="A284" s="10">
        <v>42404</v>
      </c>
      <c r="B284" s="11">
        <v>0.33333333333333331</v>
      </c>
      <c r="C284" s="12" t="s">
        <v>12</v>
      </c>
      <c r="D284" s="12" t="s">
        <v>13</v>
      </c>
      <c r="E284" s="12" t="s">
        <v>14</v>
      </c>
      <c r="F284" s="12" t="s">
        <v>29</v>
      </c>
      <c r="G284" s="13" t="s">
        <v>170</v>
      </c>
      <c r="H284" s="12">
        <v>25</v>
      </c>
    </row>
    <row r="285" spans="1:9" x14ac:dyDescent="0.25">
      <c r="A285" s="47">
        <v>42404</v>
      </c>
      <c r="B285" s="48">
        <v>0.39583333333333331</v>
      </c>
      <c r="C285" s="12" t="s">
        <v>12</v>
      </c>
      <c r="D285" s="37" t="s">
        <v>13</v>
      </c>
      <c r="E285" s="12" t="s">
        <v>14</v>
      </c>
      <c r="F285" s="12" t="s">
        <v>103</v>
      </c>
      <c r="G285" s="13" t="s">
        <v>104</v>
      </c>
      <c r="H285" s="12">
        <v>23</v>
      </c>
    </row>
    <row r="286" spans="1:9" x14ac:dyDescent="0.25">
      <c r="A286" s="70">
        <v>42404</v>
      </c>
      <c r="B286" s="71">
        <v>0.45833333333333331</v>
      </c>
      <c r="C286" s="2" t="s">
        <v>36</v>
      </c>
      <c r="D286" s="12" t="s">
        <v>44</v>
      </c>
      <c r="E286" s="2" t="s">
        <v>192</v>
      </c>
      <c r="F286" s="2" t="s">
        <v>27</v>
      </c>
      <c r="G286" s="64" t="s">
        <v>42</v>
      </c>
      <c r="H286" s="72">
        <v>25</v>
      </c>
    </row>
    <row r="287" spans="1:9" x14ac:dyDescent="0.25">
      <c r="A287" s="47">
        <v>42404</v>
      </c>
      <c r="B287" s="48">
        <v>0.45833333333333331</v>
      </c>
      <c r="C287" s="49" t="s">
        <v>17</v>
      </c>
      <c r="D287" s="12" t="s">
        <v>13</v>
      </c>
      <c r="E287" s="12" t="s">
        <v>14</v>
      </c>
      <c r="F287" s="27" t="s">
        <v>103</v>
      </c>
      <c r="G287" s="50" t="s">
        <v>104</v>
      </c>
      <c r="H287" s="12">
        <v>25</v>
      </c>
    </row>
    <row r="288" spans="1:9" x14ac:dyDescent="0.25">
      <c r="A288" s="47">
        <v>42404</v>
      </c>
      <c r="B288" s="48">
        <v>0.52083333333333337</v>
      </c>
      <c r="C288" s="49" t="s">
        <v>24</v>
      </c>
      <c r="D288" s="12" t="s">
        <v>13</v>
      </c>
      <c r="E288" s="12" t="s">
        <v>14</v>
      </c>
      <c r="F288" s="27" t="s">
        <v>103</v>
      </c>
      <c r="G288" s="50" t="s">
        <v>104</v>
      </c>
      <c r="H288" s="12">
        <v>25</v>
      </c>
    </row>
    <row r="289" spans="1:9" x14ac:dyDescent="0.25">
      <c r="A289" s="47">
        <v>42404</v>
      </c>
      <c r="B289" s="48">
        <v>0.58333333333333337</v>
      </c>
      <c r="C289" s="49" t="s">
        <v>20</v>
      </c>
      <c r="D289" s="12" t="s">
        <v>13</v>
      </c>
      <c r="E289" s="12" t="s">
        <v>14</v>
      </c>
      <c r="F289" s="27" t="s">
        <v>103</v>
      </c>
      <c r="G289" s="50" t="s">
        <v>104</v>
      </c>
      <c r="H289" s="12">
        <v>23</v>
      </c>
    </row>
    <row r="290" spans="1:9" x14ac:dyDescent="0.25">
      <c r="A290" s="93">
        <v>42408</v>
      </c>
      <c r="B290" s="91">
        <v>0.33333333333333331</v>
      </c>
      <c r="C290" s="12" t="s">
        <v>33</v>
      </c>
      <c r="D290" s="12" t="s">
        <v>34</v>
      </c>
      <c r="E290" s="74"/>
      <c r="F290" s="14" t="s">
        <v>29</v>
      </c>
      <c r="G290" s="14" t="s">
        <v>124</v>
      </c>
      <c r="H290" s="90">
        <v>20</v>
      </c>
      <c r="I290" s="25"/>
    </row>
    <row r="291" spans="1:9" x14ac:dyDescent="0.25">
      <c r="A291" s="93">
        <v>42408</v>
      </c>
      <c r="B291" s="91">
        <v>0.39583333333333331</v>
      </c>
      <c r="C291" s="12" t="s">
        <v>33</v>
      </c>
      <c r="D291" s="12" t="s">
        <v>34</v>
      </c>
      <c r="E291" s="74"/>
      <c r="F291" s="14" t="s">
        <v>29</v>
      </c>
      <c r="G291" s="14" t="s">
        <v>124</v>
      </c>
      <c r="H291" s="90">
        <v>21</v>
      </c>
    </row>
    <row r="292" spans="1:9" x14ac:dyDescent="0.25">
      <c r="A292" s="41">
        <v>42408</v>
      </c>
      <c r="B292" s="42">
        <v>0.75</v>
      </c>
      <c r="C292" s="37" t="s">
        <v>31</v>
      </c>
      <c r="D292" s="37" t="s">
        <v>13</v>
      </c>
      <c r="E292" s="37" t="s">
        <v>14</v>
      </c>
      <c r="F292" s="37" t="s">
        <v>57</v>
      </c>
      <c r="G292" s="37" t="s">
        <v>59</v>
      </c>
      <c r="H292" s="44">
        <v>20</v>
      </c>
      <c r="I292" s="74"/>
    </row>
    <row r="293" spans="1:9" x14ac:dyDescent="0.25">
      <c r="A293" s="93">
        <v>42409</v>
      </c>
      <c r="B293" s="91">
        <v>0.33333333333333331</v>
      </c>
      <c r="C293" s="12" t="s">
        <v>33</v>
      </c>
      <c r="D293" s="12" t="s">
        <v>34</v>
      </c>
      <c r="E293" s="74"/>
      <c r="F293" s="14" t="s">
        <v>29</v>
      </c>
      <c r="G293" s="14" t="s">
        <v>124</v>
      </c>
      <c r="H293" s="90">
        <v>14</v>
      </c>
    </row>
    <row r="294" spans="1:9" x14ac:dyDescent="0.25">
      <c r="A294" s="93">
        <v>42409</v>
      </c>
      <c r="B294" s="91">
        <v>0.39583333333333331</v>
      </c>
      <c r="C294" s="12" t="s">
        <v>33</v>
      </c>
      <c r="D294" s="12" t="s">
        <v>34</v>
      </c>
      <c r="E294" s="74"/>
      <c r="F294" s="89" t="s">
        <v>29</v>
      </c>
      <c r="G294" s="14" t="s">
        <v>124</v>
      </c>
      <c r="H294" s="90">
        <v>9</v>
      </c>
    </row>
    <row r="295" spans="1:9" x14ac:dyDescent="0.25">
      <c r="A295" s="47">
        <v>42409</v>
      </c>
      <c r="B295" s="48">
        <v>0.39583333333333331</v>
      </c>
      <c r="C295" s="49" t="s">
        <v>20</v>
      </c>
      <c r="D295" s="12" t="s">
        <v>13</v>
      </c>
      <c r="E295" s="12" t="s">
        <v>14</v>
      </c>
      <c r="F295" s="27" t="s">
        <v>176</v>
      </c>
      <c r="G295" s="50" t="s">
        <v>209</v>
      </c>
      <c r="H295" s="12">
        <v>20</v>
      </c>
    </row>
    <row r="296" spans="1:9" x14ac:dyDescent="0.25">
      <c r="A296" s="93">
        <v>42409</v>
      </c>
      <c r="B296" s="91">
        <v>0.45833333333333331</v>
      </c>
      <c r="C296" s="12" t="s">
        <v>33</v>
      </c>
      <c r="D296" s="12" t="s">
        <v>34</v>
      </c>
      <c r="E296" s="74"/>
      <c r="F296" s="89" t="s">
        <v>29</v>
      </c>
      <c r="G296" s="14" t="s">
        <v>124</v>
      </c>
      <c r="H296" s="90">
        <v>18</v>
      </c>
    </row>
    <row r="297" spans="1:9" x14ac:dyDescent="0.25">
      <c r="A297" s="47">
        <v>42409</v>
      </c>
      <c r="B297" s="48">
        <v>0.52083333333333337</v>
      </c>
      <c r="C297" s="49" t="s">
        <v>17</v>
      </c>
      <c r="D297" s="12" t="s">
        <v>13</v>
      </c>
      <c r="E297" s="12" t="s">
        <v>14</v>
      </c>
      <c r="F297" s="27" t="s">
        <v>176</v>
      </c>
      <c r="G297" s="50" t="s">
        <v>209</v>
      </c>
      <c r="H297" s="12">
        <v>25</v>
      </c>
    </row>
    <row r="298" spans="1:9" x14ac:dyDescent="0.25">
      <c r="A298" s="47">
        <v>42409</v>
      </c>
      <c r="B298" s="48">
        <v>0.58333333333333337</v>
      </c>
      <c r="C298" s="49" t="s">
        <v>17</v>
      </c>
      <c r="D298" s="12" t="s">
        <v>13</v>
      </c>
      <c r="E298" s="12" t="s">
        <v>14</v>
      </c>
      <c r="F298" s="27" t="s">
        <v>176</v>
      </c>
      <c r="G298" s="50" t="s">
        <v>209</v>
      </c>
      <c r="H298" s="12">
        <v>25</v>
      </c>
    </row>
    <row r="299" spans="1:9" x14ac:dyDescent="0.25">
      <c r="A299" s="47">
        <v>42410</v>
      </c>
      <c r="B299" s="48">
        <v>0.39583333333333331</v>
      </c>
      <c r="C299" s="12" t="s">
        <v>24</v>
      </c>
      <c r="D299" s="12" t="s">
        <v>13</v>
      </c>
      <c r="E299" s="12" t="s">
        <v>14</v>
      </c>
      <c r="F299" s="12" t="s">
        <v>76</v>
      </c>
      <c r="G299" s="50" t="s">
        <v>77</v>
      </c>
      <c r="H299" s="12">
        <v>18</v>
      </c>
    </row>
    <row r="300" spans="1:9" x14ac:dyDescent="0.25">
      <c r="A300" s="93">
        <v>42410</v>
      </c>
      <c r="B300" s="91">
        <v>0.58333333333333337</v>
      </c>
      <c r="C300" s="12" t="s">
        <v>33</v>
      </c>
      <c r="D300" s="12" t="s">
        <v>34</v>
      </c>
      <c r="E300" s="74"/>
      <c r="F300" s="89" t="s">
        <v>94</v>
      </c>
      <c r="G300" s="14" t="s">
        <v>95</v>
      </c>
      <c r="H300" s="90">
        <v>16</v>
      </c>
    </row>
    <row r="301" spans="1:9" x14ac:dyDescent="0.25">
      <c r="A301" s="47">
        <v>42410</v>
      </c>
      <c r="B301" s="27">
        <v>0.58333333333333337</v>
      </c>
      <c r="C301" s="49" t="s">
        <v>20</v>
      </c>
      <c r="D301" s="12" t="s">
        <v>13</v>
      </c>
      <c r="E301" s="12" t="s">
        <v>14</v>
      </c>
      <c r="F301" s="27" t="s">
        <v>76</v>
      </c>
      <c r="G301" s="50" t="s">
        <v>77</v>
      </c>
      <c r="H301" s="12">
        <v>20</v>
      </c>
      <c r="I301" s="74"/>
    </row>
    <row r="302" spans="1:9" x14ac:dyDescent="0.25">
      <c r="A302" s="47">
        <v>42410</v>
      </c>
      <c r="B302" s="48">
        <v>0.75</v>
      </c>
      <c r="C302" s="12" t="s">
        <v>26</v>
      </c>
      <c r="D302" s="12" t="s">
        <v>13</v>
      </c>
      <c r="E302" s="12" t="s">
        <v>177</v>
      </c>
      <c r="F302" s="12" t="s">
        <v>29</v>
      </c>
      <c r="G302" s="50" t="s">
        <v>178</v>
      </c>
      <c r="H302" s="12">
        <v>20</v>
      </c>
    </row>
    <row r="303" spans="1:9" x14ac:dyDescent="0.25">
      <c r="A303" s="47">
        <v>42411</v>
      </c>
      <c r="B303" s="27">
        <v>0.39583333333333331</v>
      </c>
      <c r="C303" s="49" t="s">
        <v>12</v>
      </c>
      <c r="D303" s="12" t="s">
        <v>13</v>
      </c>
      <c r="E303" s="12" t="s">
        <v>14</v>
      </c>
      <c r="F303" s="27" t="s">
        <v>64</v>
      </c>
      <c r="G303" s="50" t="s">
        <v>77</v>
      </c>
      <c r="H303" s="12">
        <v>20</v>
      </c>
    </row>
    <row r="304" spans="1:9" x14ac:dyDescent="0.25">
      <c r="A304" s="93">
        <v>42411</v>
      </c>
      <c r="B304" s="91">
        <v>0.45833333333333331</v>
      </c>
      <c r="C304" s="12" t="s">
        <v>33</v>
      </c>
      <c r="D304" s="12" t="s">
        <v>34</v>
      </c>
      <c r="E304" s="74"/>
      <c r="F304" s="89" t="s">
        <v>79</v>
      </c>
      <c r="G304" s="14" t="s">
        <v>89</v>
      </c>
      <c r="H304" s="90">
        <v>17</v>
      </c>
      <c r="I304" s="74"/>
    </row>
    <row r="305" spans="1:9" x14ac:dyDescent="0.25">
      <c r="A305" s="47">
        <v>42411</v>
      </c>
      <c r="B305" s="48">
        <v>0.45833333333333331</v>
      </c>
      <c r="C305" s="12" t="s">
        <v>24</v>
      </c>
      <c r="D305" s="12" t="s">
        <v>13</v>
      </c>
      <c r="E305" s="12" t="s">
        <v>14</v>
      </c>
      <c r="F305" s="12" t="s">
        <v>64</v>
      </c>
      <c r="G305" s="50" t="s">
        <v>77</v>
      </c>
      <c r="H305" s="12">
        <v>20</v>
      </c>
    </row>
    <row r="306" spans="1:9" x14ac:dyDescent="0.25">
      <c r="A306" s="93">
        <v>42411</v>
      </c>
      <c r="B306" s="91">
        <v>0.52083333333333337</v>
      </c>
      <c r="C306" s="12" t="s">
        <v>33</v>
      </c>
      <c r="D306" s="12" t="s">
        <v>34</v>
      </c>
      <c r="E306" s="74"/>
      <c r="F306" s="89" t="s">
        <v>79</v>
      </c>
      <c r="G306" s="14" t="s">
        <v>95</v>
      </c>
      <c r="H306" s="90">
        <v>20</v>
      </c>
    </row>
    <row r="307" spans="1:9" x14ac:dyDescent="0.25">
      <c r="A307" s="47">
        <v>42411</v>
      </c>
      <c r="B307" s="27">
        <v>0.53125</v>
      </c>
      <c r="C307" s="49" t="s">
        <v>12</v>
      </c>
      <c r="D307" s="12" t="s">
        <v>13</v>
      </c>
      <c r="E307" s="12" t="s">
        <v>179</v>
      </c>
      <c r="F307" s="12" t="s">
        <v>180</v>
      </c>
      <c r="G307" s="50" t="s">
        <v>19</v>
      </c>
      <c r="H307" s="12">
        <v>22</v>
      </c>
    </row>
    <row r="308" spans="1:9" x14ac:dyDescent="0.25">
      <c r="A308" s="93">
        <v>42411</v>
      </c>
      <c r="B308" s="91">
        <v>0.58333333333333337</v>
      </c>
      <c r="C308" s="12" t="s">
        <v>33</v>
      </c>
      <c r="D308" s="12" t="s">
        <v>34</v>
      </c>
      <c r="E308" s="74"/>
      <c r="F308" s="89" t="s">
        <v>79</v>
      </c>
      <c r="G308" s="14" t="s">
        <v>95</v>
      </c>
      <c r="H308" s="90">
        <v>11</v>
      </c>
    </row>
    <row r="309" spans="1:9" x14ac:dyDescent="0.25">
      <c r="A309" s="47">
        <v>42411</v>
      </c>
      <c r="B309" s="48">
        <v>0.58333333333333337</v>
      </c>
      <c r="C309" s="12" t="s">
        <v>26</v>
      </c>
      <c r="D309" s="12" t="s">
        <v>13</v>
      </c>
      <c r="E309" s="12" t="s">
        <v>14</v>
      </c>
      <c r="F309" s="12" t="s">
        <v>64</v>
      </c>
      <c r="G309" s="50" t="s">
        <v>77</v>
      </c>
      <c r="H309" s="12">
        <v>24</v>
      </c>
    </row>
    <row r="310" spans="1:9" x14ac:dyDescent="0.25">
      <c r="A310" s="47">
        <v>42411</v>
      </c>
      <c r="B310" s="11">
        <v>0.69791666666666663</v>
      </c>
      <c r="C310" s="12" t="s">
        <v>20</v>
      </c>
      <c r="D310" s="12" t="s">
        <v>13</v>
      </c>
      <c r="E310" s="12" t="s">
        <v>179</v>
      </c>
      <c r="F310" s="12" t="s">
        <v>180</v>
      </c>
      <c r="G310" s="50" t="s">
        <v>19</v>
      </c>
      <c r="H310" s="52">
        <v>33</v>
      </c>
      <c r="I310" s="74"/>
    </row>
    <row r="311" spans="1:9" x14ac:dyDescent="0.25">
      <c r="A311" s="47">
        <v>42411</v>
      </c>
      <c r="B311" s="48">
        <v>0.76041666666666663</v>
      </c>
      <c r="C311" s="12" t="s">
        <v>20</v>
      </c>
      <c r="D311" s="12" t="s">
        <v>13</v>
      </c>
      <c r="E311" s="12" t="s">
        <v>179</v>
      </c>
      <c r="F311" s="12" t="s">
        <v>180</v>
      </c>
      <c r="G311" s="50" t="s">
        <v>19</v>
      </c>
      <c r="H311" s="12">
        <v>35</v>
      </c>
    </row>
    <row r="312" spans="1:9" x14ac:dyDescent="0.25">
      <c r="A312" s="10">
        <v>42416</v>
      </c>
      <c r="B312" s="11">
        <v>0.39583333333333331</v>
      </c>
      <c r="C312" s="12" t="s">
        <v>20</v>
      </c>
      <c r="D312" s="12" t="s">
        <v>13</v>
      </c>
      <c r="E312" s="12" t="s">
        <v>14</v>
      </c>
      <c r="F312" s="12" t="s">
        <v>181</v>
      </c>
      <c r="G312" s="12" t="s">
        <v>182</v>
      </c>
      <c r="H312" s="52">
        <v>22</v>
      </c>
    </row>
    <row r="313" spans="1:9" x14ac:dyDescent="0.25">
      <c r="A313" s="10">
        <v>42416</v>
      </c>
      <c r="B313" s="53">
        <v>0.45833333333333331</v>
      </c>
      <c r="C313" s="12" t="s">
        <v>20</v>
      </c>
      <c r="D313" s="12" t="s">
        <v>13</v>
      </c>
      <c r="E313" s="12" t="s">
        <v>14</v>
      </c>
      <c r="F313" s="12" t="s">
        <v>181</v>
      </c>
      <c r="G313" s="12" t="s">
        <v>182</v>
      </c>
      <c r="H313" s="52">
        <v>24</v>
      </c>
      <c r="I313" s="74"/>
    </row>
    <row r="314" spans="1:9" x14ac:dyDescent="0.25">
      <c r="A314" s="70">
        <v>42416</v>
      </c>
      <c r="B314" s="71">
        <v>0.52083333333333337</v>
      </c>
      <c r="C314" s="2" t="s">
        <v>36</v>
      </c>
      <c r="D314" s="12" t="s">
        <v>44</v>
      </c>
      <c r="E314" s="2" t="s">
        <v>37</v>
      </c>
      <c r="F314" s="2" t="s">
        <v>27</v>
      </c>
      <c r="G314" s="2" t="s">
        <v>38</v>
      </c>
      <c r="H314" s="72">
        <v>25</v>
      </c>
    </row>
    <row r="315" spans="1:9" x14ac:dyDescent="0.25">
      <c r="A315" s="70">
        <v>42416</v>
      </c>
      <c r="B315" s="71">
        <v>0.58333333333333337</v>
      </c>
      <c r="C315" s="2" t="s">
        <v>36</v>
      </c>
      <c r="D315" s="12" t="s">
        <v>44</v>
      </c>
      <c r="E315" s="2" t="s">
        <v>37</v>
      </c>
      <c r="F315" s="2" t="s">
        <v>27</v>
      </c>
      <c r="G315" s="2" t="s">
        <v>38</v>
      </c>
      <c r="H315" s="72">
        <v>25</v>
      </c>
    </row>
    <row r="316" spans="1:9" x14ac:dyDescent="0.25">
      <c r="A316" s="70">
        <v>42416</v>
      </c>
      <c r="B316" s="71">
        <v>0.6875</v>
      </c>
      <c r="C316" s="2" t="s">
        <v>84</v>
      </c>
      <c r="D316" s="12" t="s">
        <v>44</v>
      </c>
      <c r="E316" s="2" t="s">
        <v>37</v>
      </c>
      <c r="F316" s="2" t="s">
        <v>27</v>
      </c>
      <c r="G316" s="2" t="s">
        <v>38</v>
      </c>
      <c r="H316" s="72">
        <v>25</v>
      </c>
    </row>
    <row r="317" spans="1:9" x14ac:dyDescent="0.25">
      <c r="A317" s="47">
        <v>42416</v>
      </c>
      <c r="B317" s="48">
        <v>0.76041666666666663</v>
      </c>
      <c r="C317" s="12" t="s">
        <v>20</v>
      </c>
      <c r="D317" s="12" t="s">
        <v>13</v>
      </c>
      <c r="E317" s="12" t="s">
        <v>183</v>
      </c>
      <c r="F317" s="12" t="s">
        <v>180</v>
      </c>
      <c r="G317" s="50" t="s">
        <v>19</v>
      </c>
      <c r="H317" s="12">
        <v>30</v>
      </c>
    </row>
    <row r="318" spans="1:9" x14ac:dyDescent="0.25">
      <c r="A318" s="70">
        <v>42417</v>
      </c>
      <c r="B318" s="71">
        <v>0.58333333333333337</v>
      </c>
      <c r="C318" s="2" t="s">
        <v>36</v>
      </c>
      <c r="D318" s="12" t="s">
        <v>44</v>
      </c>
      <c r="E318" s="2" t="s">
        <v>192</v>
      </c>
      <c r="F318" s="2" t="s">
        <v>27</v>
      </c>
      <c r="G318" s="2" t="s">
        <v>82</v>
      </c>
      <c r="H318" s="72">
        <v>25</v>
      </c>
    </row>
    <row r="319" spans="1:9" x14ac:dyDescent="0.25">
      <c r="A319" s="70">
        <v>42417</v>
      </c>
      <c r="B319" s="71">
        <v>0.6875</v>
      </c>
      <c r="C319" s="2" t="s">
        <v>84</v>
      </c>
      <c r="D319" s="12" t="s">
        <v>44</v>
      </c>
      <c r="E319" s="2" t="s">
        <v>192</v>
      </c>
      <c r="F319" s="2" t="s">
        <v>27</v>
      </c>
      <c r="G319" s="2" t="s">
        <v>82</v>
      </c>
      <c r="H319" s="72">
        <v>25</v>
      </c>
    </row>
    <row r="320" spans="1:9" x14ac:dyDescent="0.25">
      <c r="A320" s="47">
        <v>42417</v>
      </c>
      <c r="B320" s="48">
        <v>0.75</v>
      </c>
      <c r="C320" s="12" t="s">
        <v>20</v>
      </c>
      <c r="D320" s="12" t="s">
        <v>13</v>
      </c>
      <c r="E320" s="12" t="s">
        <v>14</v>
      </c>
      <c r="F320" s="12" t="s">
        <v>112</v>
      </c>
      <c r="G320" s="50" t="s">
        <v>69</v>
      </c>
      <c r="H320" s="12">
        <v>20</v>
      </c>
    </row>
    <row r="321" spans="1:8" x14ac:dyDescent="0.25">
      <c r="A321" s="47">
        <v>42418</v>
      </c>
      <c r="B321" s="27">
        <v>0.39583333333333331</v>
      </c>
      <c r="C321" s="12" t="s">
        <v>24</v>
      </c>
      <c r="D321" s="12" t="s">
        <v>13</v>
      </c>
      <c r="E321" s="12" t="s">
        <v>14</v>
      </c>
      <c r="F321" s="27" t="s">
        <v>29</v>
      </c>
      <c r="G321" s="50" t="s">
        <v>99</v>
      </c>
      <c r="H321" s="12">
        <v>25</v>
      </c>
    </row>
    <row r="322" spans="1:8" x14ac:dyDescent="0.25">
      <c r="A322" s="70">
        <v>42418</v>
      </c>
      <c r="B322" s="71">
        <v>0.52083333333333337</v>
      </c>
      <c r="C322" s="2" t="s">
        <v>36</v>
      </c>
      <c r="D322" s="12" t="s">
        <v>44</v>
      </c>
      <c r="E322" s="2" t="s">
        <v>37</v>
      </c>
      <c r="F322" s="2" t="s">
        <v>79</v>
      </c>
      <c r="G322" s="2" t="s">
        <v>136</v>
      </c>
      <c r="H322" s="72">
        <v>25</v>
      </c>
    </row>
    <row r="323" spans="1:8" s="74" customFormat="1" x14ac:dyDescent="0.25">
      <c r="A323" s="10">
        <v>42418</v>
      </c>
      <c r="B323" s="11">
        <v>0.75</v>
      </c>
      <c r="C323" s="12" t="s">
        <v>26</v>
      </c>
      <c r="D323" s="12" t="s">
        <v>13</v>
      </c>
      <c r="E323" s="12" t="s">
        <v>14</v>
      </c>
      <c r="F323" s="88" t="s">
        <v>185</v>
      </c>
      <c r="G323" s="12" t="s">
        <v>184</v>
      </c>
      <c r="H323" s="52">
        <v>18</v>
      </c>
    </row>
    <row r="324" spans="1:8" x14ac:dyDescent="0.25">
      <c r="A324" s="10">
        <v>42422</v>
      </c>
      <c r="B324" s="11">
        <v>0.33333333333333331</v>
      </c>
      <c r="C324" s="12" t="s">
        <v>20</v>
      </c>
      <c r="D324" s="12" t="s">
        <v>13</v>
      </c>
      <c r="E324" s="12" t="s">
        <v>14</v>
      </c>
      <c r="F324" s="12" t="s">
        <v>27</v>
      </c>
      <c r="G324" s="50" t="s">
        <v>100</v>
      </c>
      <c r="H324" s="52">
        <v>16</v>
      </c>
    </row>
    <row r="325" spans="1:8" x14ac:dyDescent="0.25">
      <c r="A325" s="10">
        <v>42422</v>
      </c>
      <c r="B325" s="11">
        <v>0.39583333333333331</v>
      </c>
      <c r="C325" s="12" t="s">
        <v>26</v>
      </c>
      <c r="D325" s="12" t="s">
        <v>13</v>
      </c>
      <c r="E325" s="12" t="s">
        <v>14</v>
      </c>
      <c r="F325" s="12" t="s">
        <v>27</v>
      </c>
      <c r="G325" s="12" t="s">
        <v>100</v>
      </c>
      <c r="H325" s="52">
        <v>20</v>
      </c>
    </row>
    <row r="326" spans="1:8" x14ac:dyDescent="0.25">
      <c r="A326" s="10">
        <v>42422</v>
      </c>
      <c r="B326" s="48">
        <v>0.52083333333333337</v>
      </c>
      <c r="C326" s="12" t="s">
        <v>31</v>
      </c>
      <c r="D326" s="12" t="s">
        <v>13</v>
      </c>
      <c r="E326" s="12" t="s">
        <v>14</v>
      </c>
      <c r="F326" s="12" t="s">
        <v>57</v>
      </c>
      <c r="G326" s="12" t="s">
        <v>100</v>
      </c>
      <c r="H326" s="12">
        <v>15</v>
      </c>
    </row>
    <row r="327" spans="1:8" x14ac:dyDescent="0.25">
      <c r="A327" s="10">
        <v>42423</v>
      </c>
      <c r="B327" s="11">
        <v>0.58333333333333337</v>
      </c>
      <c r="C327" s="12" t="s">
        <v>20</v>
      </c>
      <c r="D327" s="12" t="s">
        <v>13</v>
      </c>
      <c r="E327" s="12" t="s">
        <v>14</v>
      </c>
      <c r="F327" s="12" t="s">
        <v>25</v>
      </c>
      <c r="G327" s="12"/>
      <c r="H327" s="52">
        <v>6</v>
      </c>
    </row>
    <row r="328" spans="1:8" x14ac:dyDescent="0.25">
      <c r="A328" s="93">
        <v>42424</v>
      </c>
      <c r="B328" s="91">
        <v>0.39583333333333331</v>
      </c>
      <c r="C328" s="12" t="s">
        <v>33</v>
      </c>
      <c r="D328" s="12" t="s">
        <v>34</v>
      </c>
      <c r="E328" s="74"/>
      <c r="F328" s="89" t="s">
        <v>27</v>
      </c>
      <c r="G328" s="14" t="s">
        <v>188</v>
      </c>
      <c r="H328" s="90">
        <v>12</v>
      </c>
    </row>
    <row r="329" spans="1:8" x14ac:dyDescent="0.25">
      <c r="A329" s="47">
        <v>42424</v>
      </c>
      <c r="B329" s="48">
        <v>0.39583333333333331</v>
      </c>
      <c r="C329" s="12" t="s">
        <v>12</v>
      </c>
      <c r="D329" s="12" t="s">
        <v>13</v>
      </c>
      <c r="E329" s="12" t="s">
        <v>186</v>
      </c>
      <c r="F329" s="12" t="s">
        <v>76</v>
      </c>
      <c r="G329" s="50" t="s">
        <v>77</v>
      </c>
      <c r="H329" s="12">
        <v>20</v>
      </c>
    </row>
    <row r="330" spans="1:8" x14ac:dyDescent="0.25">
      <c r="A330" s="47">
        <v>42424</v>
      </c>
      <c r="B330" s="48">
        <v>0.54166666666666663</v>
      </c>
      <c r="C330" s="12" t="s">
        <v>24</v>
      </c>
      <c r="D330" s="12" t="s">
        <v>13</v>
      </c>
      <c r="E330" s="12" t="s">
        <v>14</v>
      </c>
      <c r="F330" s="12" t="s">
        <v>27</v>
      </c>
      <c r="G330" s="50" t="s">
        <v>105</v>
      </c>
      <c r="H330" s="12">
        <v>20</v>
      </c>
    </row>
    <row r="331" spans="1:8" x14ac:dyDescent="0.25">
      <c r="A331" s="10">
        <v>42424</v>
      </c>
      <c r="B331" s="11">
        <v>0.58333333333333337</v>
      </c>
      <c r="C331" s="12" t="s">
        <v>31</v>
      </c>
      <c r="D331" s="12" t="s">
        <v>13</v>
      </c>
      <c r="E331" s="12" t="s">
        <v>186</v>
      </c>
      <c r="F331" s="12" t="s">
        <v>76</v>
      </c>
      <c r="G331" s="12" t="s">
        <v>77</v>
      </c>
      <c r="H331" s="52">
        <v>15</v>
      </c>
    </row>
    <row r="332" spans="1:8" x14ac:dyDescent="0.25">
      <c r="A332" s="47">
        <v>42425</v>
      </c>
      <c r="B332" s="48">
        <v>0.39583333333333331</v>
      </c>
      <c r="C332" s="12" t="s">
        <v>24</v>
      </c>
      <c r="D332" s="12" t="s">
        <v>13</v>
      </c>
      <c r="E332" s="12" t="s">
        <v>186</v>
      </c>
      <c r="F332" s="12" t="s">
        <v>64</v>
      </c>
      <c r="G332" s="50" t="s">
        <v>77</v>
      </c>
      <c r="H332" s="12">
        <v>25</v>
      </c>
    </row>
    <row r="333" spans="1:8" x14ac:dyDescent="0.25">
      <c r="A333" s="47">
        <v>42425</v>
      </c>
      <c r="B333" s="48">
        <v>0.45833333333333331</v>
      </c>
      <c r="C333" s="12" t="s">
        <v>26</v>
      </c>
      <c r="D333" s="12" t="s">
        <v>13</v>
      </c>
      <c r="E333" s="12" t="s">
        <v>186</v>
      </c>
      <c r="F333" s="12" t="s">
        <v>64</v>
      </c>
      <c r="G333" s="50" t="s">
        <v>77</v>
      </c>
      <c r="H333" s="12">
        <v>15</v>
      </c>
    </row>
    <row r="334" spans="1:8" x14ac:dyDescent="0.25">
      <c r="A334" s="47">
        <v>42425</v>
      </c>
      <c r="B334" s="27">
        <v>0.53125</v>
      </c>
      <c r="C334" s="12" t="s">
        <v>17</v>
      </c>
      <c r="D334" s="12" t="s">
        <v>13</v>
      </c>
      <c r="E334" s="12" t="s">
        <v>14</v>
      </c>
      <c r="F334" s="27" t="s">
        <v>25</v>
      </c>
      <c r="G334" s="50"/>
      <c r="H334" s="12">
        <v>8</v>
      </c>
    </row>
    <row r="335" spans="1:8" s="74" customFormat="1" x14ac:dyDescent="0.25">
      <c r="A335" s="47">
        <v>42425</v>
      </c>
      <c r="B335" s="48">
        <v>0.58333333333333337</v>
      </c>
      <c r="C335" s="12" t="s">
        <v>26</v>
      </c>
      <c r="D335" s="12" t="s">
        <v>13</v>
      </c>
      <c r="E335" s="12" t="s">
        <v>187</v>
      </c>
      <c r="F335" s="27" t="s">
        <v>64</v>
      </c>
      <c r="G335" s="50" t="s">
        <v>77</v>
      </c>
      <c r="H335" s="12">
        <v>15</v>
      </c>
    </row>
    <row r="336" spans="1:8" s="74" customFormat="1" x14ac:dyDescent="0.25">
      <c r="A336" s="93">
        <v>42425</v>
      </c>
      <c r="B336" s="91">
        <v>0.625</v>
      </c>
      <c r="C336" s="12" t="s">
        <v>33</v>
      </c>
      <c r="D336" s="12" t="s">
        <v>34</v>
      </c>
      <c r="F336" s="89" t="s">
        <v>25</v>
      </c>
      <c r="G336" s="14"/>
      <c r="H336" s="90">
        <v>1</v>
      </c>
    </row>
    <row r="337" spans="1:8" x14ac:dyDescent="0.25">
      <c r="A337" s="94">
        <v>42426</v>
      </c>
      <c r="B337" s="48">
        <v>0.39583333333333331</v>
      </c>
      <c r="C337" s="12" t="s">
        <v>31</v>
      </c>
      <c r="D337" s="12" t="s">
        <v>121</v>
      </c>
      <c r="E337" s="12" t="s">
        <v>189</v>
      </c>
      <c r="F337" s="12" t="s">
        <v>190</v>
      </c>
      <c r="G337" s="50" t="s">
        <v>191</v>
      </c>
      <c r="H337" s="12">
        <v>5</v>
      </c>
    </row>
    <row r="338" spans="1:8" x14ac:dyDescent="0.25">
      <c r="A338" s="92">
        <v>42429</v>
      </c>
      <c r="B338" s="11">
        <v>0.52083333333333337</v>
      </c>
      <c r="C338" s="12" t="s">
        <v>12</v>
      </c>
      <c r="D338" s="12" t="s">
        <v>13</v>
      </c>
      <c r="E338" s="12" t="s">
        <v>14</v>
      </c>
      <c r="F338" s="12" t="s">
        <v>25</v>
      </c>
      <c r="G338" s="13"/>
      <c r="H338" s="12">
        <v>6</v>
      </c>
    </row>
    <row r="339" spans="1:8" x14ac:dyDescent="0.25">
      <c r="A339" s="92">
        <v>42429</v>
      </c>
      <c r="B339" s="11">
        <v>0.64583333333333337</v>
      </c>
      <c r="C339" s="12" t="s">
        <v>17</v>
      </c>
      <c r="D339" s="12" t="s">
        <v>13</v>
      </c>
      <c r="E339" s="12" t="s">
        <v>14</v>
      </c>
      <c r="F339" s="12" t="s">
        <v>25</v>
      </c>
      <c r="G339" s="13"/>
      <c r="H339" s="12">
        <v>8</v>
      </c>
    </row>
    <row r="340" spans="1:8" x14ac:dyDescent="0.25">
      <c r="A340" s="10">
        <v>42430</v>
      </c>
      <c r="B340" s="11">
        <v>0.33333333333333331</v>
      </c>
      <c r="C340" s="12" t="s">
        <v>20</v>
      </c>
      <c r="D340" s="12" t="s">
        <v>13</v>
      </c>
      <c r="E340" s="12" t="s">
        <v>14</v>
      </c>
      <c r="F340" s="12" t="s">
        <v>27</v>
      </c>
      <c r="G340" s="12" t="s">
        <v>193</v>
      </c>
      <c r="H340" s="52">
        <v>21</v>
      </c>
    </row>
    <row r="341" spans="1:8" s="74" customFormat="1" x14ac:dyDescent="0.25">
      <c r="A341" s="97">
        <v>42430</v>
      </c>
      <c r="B341" s="98">
        <v>0.52083333333333337</v>
      </c>
      <c r="C341" s="95" t="s">
        <v>33</v>
      </c>
      <c r="D341" s="14" t="s">
        <v>34</v>
      </c>
      <c r="E341" s="14"/>
      <c r="F341" s="14" t="s">
        <v>27</v>
      </c>
      <c r="G341" s="14" t="s">
        <v>125</v>
      </c>
      <c r="H341" s="90">
        <v>15</v>
      </c>
    </row>
    <row r="342" spans="1:8" x14ac:dyDescent="0.25">
      <c r="A342" s="47">
        <v>42430</v>
      </c>
      <c r="B342" s="48">
        <v>0.75</v>
      </c>
      <c r="C342" s="12" t="s">
        <v>31</v>
      </c>
      <c r="D342" s="12" t="s">
        <v>13</v>
      </c>
      <c r="E342" s="12" t="s">
        <v>14</v>
      </c>
      <c r="F342" s="27" t="s">
        <v>27</v>
      </c>
      <c r="G342" s="50" t="s">
        <v>193</v>
      </c>
      <c r="H342" s="12">
        <v>25</v>
      </c>
    </row>
    <row r="343" spans="1:8" x14ac:dyDescent="0.25">
      <c r="A343" s="10">
        <v>42431</v>
      </c>
      <c r="B343" s="11">
        <v>0.39583333333333331</v>
      </c>
      <c r="C343" s="12" t="s">
        <v>17</v>
      </c>
      <c r="D343" s="12" t="s">
        <v>13</v>
      </c>
      <c r="E343" s="12" t="s">
        <v>14</v>
      </c>
      <c r="F343" s="12" t="s">
        <v>27</v>
      </c>
      <c r="G343" s="12" t="s">
        <v>115</v>
      </c>
      <c r="H343" s="52">
        <v>19</v>
      </c>
    </row>
    <row r="344" spans="1:8" x14ac:dyDescent="0.25">
      <c r="A344" s="47">
        <v>42431</v>
      </c>
      <c r="B344" s="48">
        <v>0.52083333333333337</v>
      </c>
      <c r="C344" s="12" t="s">
        <v>31</v>
      </c>
      <c r="D344" s="12" t="s">
        <v>13</v>
      </c>
      <c r="E344" s="12" t="s">
        <v>14</v>
      </c>
      <c r="F344" s="27" t="s">
        <v>27</v>
      </c>
      <c r="G344" s="50" t="s">
        <v>115</v>
      </c>
      <c r="H344" s="12">
        <v>15</v>
      </c>
    </row>
    <row r="345" spans="1:8" x14ac:dyDescent="0.25">
      <c r="A345" s="10">
        <v>42431</v>
      </c>
      <c r="B345" s="11">
        <v>0.75</v>
      </c>
      <c r="C345" s="12" t="s">
        <v>26</v>
      </c>
      <c r="D345" s="12" t="s">
        <v>13</v>
      </c>
      <c r="E345" s="12" t="s">
        <v>14</v>
      </c>
      <c r="F345" s="12" t="s">
        <v>27</v>
      </c>
      <c r="G345" s="12" t="s">
        <v>194</v>
      </c>
      <c r="H345" s="52">
        <v>20</v>
      </c>
    </row>
    <row r="346" spans="1:8" x14ac:dyDescent="0.25">
      <c r="A346" s="47">
        <v>42432</v>
      </c>
      <c r="B346" s="48">
        <v>0.39583333333333331</v>
      </c>
      <c r="C346" s="12" t="s">
        <v>24</v>
      </c>
      <c r="D346" s="12" t="s">
        <v>13</v>
      </c>
      <c r="E346" s="12" t="s">
        <v>14</v>
      </c>
      <c r="F346" s="27" t="s">
        <v>27</v>
      </c>
      <c r="G346" s="50" t="s">
        <v>115</v>
      </c>
      <c r="H346" s="52">
        <v>25</v>
      </c>
    </row>
    <row r="347" spans="1:8" x14ac:dyDescent="0.25">
      <c r="A347" s="10">
        <v>42432</v>
      </c>
      <c r="B347" s="11">
        <v>0.45833333333333331</v>
      </c>
      <c r="C347" s="12" t="s">
        <v>17</v>
      </c>
      <c r="D347" s="12" t="s">
        <v>13</v>
      </c>
      <c r="E347" s="12" t="s">
        <v>14</v>
      </c>
      <c r="F347" s="12" t="s">
        <v>27</v>
      </c>
      <c r="G347" s="12" t="s">
        <v>115</v>
      </c>
      <c r="H347" s="52">
        <v>25</v>
      </c>
    </row>
    <row r="348" spans="1:8" x14ac:dyDescent="0.25">
      <c r="A348" s="10">
        <v>42444</v>
      </c>
      <c r="B348" s="11">
        <v>0.45833333333333331</v>
      </c>
      <c r="C348" s="12" t="s">
        <v>12</v>
      </c>
      <c r="D348" s="12" t="s">
        <v>121</v>
      </c>
      <c r="E348" s="12"/>
      <c r="F348" s="12" t="s">
        <v>25</v>
      </c>
      <c r="G348" s="12"/>
      <c r="H348" s="52">
        <v>4</v>
      </c>
    </row>
    <row r="349" spans="1:8" x14ac:dyDescent="0.25">
      <c r="A349" s="47">
        <v>42444</v>
      </c>
      <c r="B349" s="48">
        <v>0.52083333333333337</v>
      </c>
      <c r="C349" s="12" t="s">
        <v>20</v>
      </c>
      <c r="D349" s="12" t="s">
        <v>13</v>
      </c>
      <c r="E349" s="12"/>
      <c r="F349" s="27" t="s">
        <v>196</v>
      </c>
      <c r="G349" s="50" t="s">
        <v>195</v>
      </c>
      <c r="H349" s="52">
        <v>34</v>
      </c>
    </row>
    <row r="350" spans="1:8" x14ac:dyDescent="0.25">
      <c r="A350" s="47">
        <v>42444</v>
      </c>
      <c r="B350" s="48">
        <v>0.70833333333333337</v>
      </c>
      <c r="C350" s="12" t="s">
        <v>12</v>
      </c>
      <c r="D350" s="12" t="s">
        <v>121</v>
      </c>
      <c r="E350" s="12"/>
      <c r="F350" s="27" t="s">
        <v>25</v>
      </c>
      <c r="G350" s="28"/>
      <c r="H350" s="100">
        <v>4</v>
      </c>
    </row>
    <row r="351" spans="1:8" x14ac:dyDescent="0.25">
      <c r="A351" s="97">
        <v>42445</v>
      </c>
      <c r="B351" s="98">
        <v>0.58333333333333337</v>
      </c>
      <c r="C351" s="96" t="s">
        <v>33</v>
      </c>
      <c r="D351" s="14" t="s">
        <v>34</v>
      </c>
      <c r="E351" s="14"/>
      <c r="F351" s="14" t="s">
        <v>25</v>
      </c>
      <c r="G351" s="14" t="s">
        <v>198</v>
      </c>
      <c r="H351" s="99">
        <v>1</v>
      </c>
    </row>
    <row r="352" spans="1:8" x14ac:dyDescent="0.25">
      <c r="A352" s="97">
        <v>42445</v>
      </c>
      <c r="B352" s="98">
        <v>0.70833333333333337</v>
      </c>
      <c r="C352" s="14" t="s">
        <v>33</v>
      </c>
      <c r="D352" s="14" t="s">
        <v>34</v>
      </c>
      <c r="E352" s="14"/>
      <c r="F352" s="14" t="s">
        <v>25</v>
      </c>
      <c r="G352" s="14" t="s">
        <v>198</v>
      </c>
      <c r="H352" s="99">
        <v>3</v>
      </c>
    </row>
    <row r="353" spans="1:8" x14ac:dyDescent="0.25">
      <c r="A353" s="70">
        <v>42446</v>
      </c>
      <c r="B353" s="71">
        <v>0.45833333333333331</v>
      </c>
      <c r="C353" s="2" t="s">
        <v>36</v>
      </c>
      <c r="D353" s="14" t="s">
        <v>44</v>
      </c>
      <c r="E353" s="2" t="s">
        <v>127</v>
      </c>
      <c r="F353" s="101" t="s">
        <v>29</v>
      </c>
      <c r="G353" s="2" t="s">
        <v>136</v>
      </c>
      <c r="H353" s="72">
        <v>25</v>
      </c>
    </row>
    <row r="354" spans="1:8" x14ac:dyDescent="0.25">
      <c r="A354" s="10">
        <v>42446</v>
      </c>
      <c r="B354" s="11">
        <v>0.52083333333333337</v>
      </c>
      <c r="C354" s="12" t="s">
        <v>26</v>
      </c>
      <c r="D354" s="12" t="s">
        <v>13</v>
      </c>
      <c r="E354" s="12" t="s">
        <v>14</v>
      </c>
      <c r="F354" s="12" t="s">
        <v>27</v>
      </c>
      <c r="G354" s="12" t="s">
        <v>28</v>
      </c>
      <c r="H354" s="52">
        <v>20</v>
      </c>
    </row>
    <row r="355" spans="1:8" x14ac:dyDescent="0.25">
      <c r="A355" s="47">
        <v>42446</v>
      </c>
      <c r="B355" s="27">
        <v>0.58333333333333337</v>
      </c>
      <c r="C355" s="12" t="s">
        <v>17</v>
      </c>
      <c r="D355" s="12" t="s">
        <v>13</v>
      </c>
      <c r="E355" s="12" t="s">
        <v>14</v>
      </c>
      <c r="F355" s="27" t="s">
        <v>29</v>
      </c>
      <c r="G355" s="12" t="s">
        <v>210</v>
      </c>
      <c r="H355" s="52">
        <v>12</v>
      </c>
    </row>
    <row r="356" spans="1:8" x14ac:dyDescent="0.25">
      <c r="A356" s="47">
        <v>42446</v>
      </c>
      <c r="B356" s="27">
        <v>0.75</v>
      </c>
      <c r="C356" s="12" t="s">
        <v>12</v>
      </c>
      <c r="D356" s="12" t="s">
        <v>13</v>
      </c>
      <c r="E356" s="12" t="s">
        <v>14</v>
      </c>
      <c r="F356" s="27" t="s">
        <v>57</v>
      </c>
      <c r="G356" s="50" t="s">
        <v>58</v>
      </c>
      <c r="H356" s="12">
        <v>20</v>
      </c>
    </row>
    <row r="357" spans="1:8" x14ac:dyDescent="0.25">
      <c r="A357" s="47">
        <v>42447</v>
      </c>
      <c r="B357" s="48">
        <v>0.41666666666666669</v>
      </c>
      <c r="C357" s="12" t="s">
        <v>20</v>
      </c>
      <c r="D357" s="12" t="s">
        <v>13</v>
      </c>
      <c r="E357" s="12" t="s">
        <v>14</v>
      </c>
      <c r="F357" s="27" t="s">
        <v>29</v>
      </c>
      <c r="G357" s="50" t="s">
        <v>210</v>
      </c>
      <c r="H357" s="12">
        <v>15</v>
      </c>
    </row>
    <row r="358" spans="1:8" x14ac:dyDescent="0.25">
      <c r="A358" s="47">
        <v>42450</v>
      </c>
      <c r="B358" s="48">
        <v>0.52083333333333337</v>
      </c>
      <c r="C358" s="12" t="s">
        <v>12</v>
      </c>
      <c r="D358" s="12" t="s">
        <v>13</v>
      </c>
      <c r="E358" s="12" t="s">
        <v>14</v>
      </c>
      <c r="F358" s="27" t="s">
        <v>176</v>
      </c>
      <c r="G358" s="50" t="s">
        <v>118</v>
      </c>
      <c r="H358" s="12">
        <v>18</v>
      </c>
    </row>
    <row r="359" spans="1:8" x14ac:dyDescent="0.25">
      <c r="A359" s="70">
        <v>42450</v>
      </c>
      <c r="B359" s="71">
        <v>0.58333333333333337</v>
      </c>
      <c r="C359" s="2" t="s">
        <v>36</v>
      </c>
      <c r="D359" s="14" t="s">
        <v>44</v>
      </c>
      <c r="E359" s="2" t="s">
        <v>200</v>
      </c>
      <c r="F359" s="101" t="s">
        <v>143</v>
      </c>
      <c r="G359" s="2" t="s">
        <v>140</v>
      </c>
      <c r="H359" s="72">
        <v>25</v>
      </c>
    </row>
    <row r="360" spans="1:8" x14ac:dyDescent="0.25">
      <c r="A360" s="47">
        <v>42450</v>
      </c>
      <c r="B360" s="48">
        <v>0.58333333333333337</v>
      </c>
      <c r="C360" s="12" t="s">
        <v>17</v>
      </c>
      <c r="D360" s="12" t="s">
        <v>13</v>
      </c>
      <c r="E360" s="12" t="s">
        <v>14</v>
      </c>
      <c r="F360" s="27" t="s">
        <v>176</v>
      </c>
      <c r="G360" s="50" t="s">
        <v>118</v>
      </c>
      <c r="H360" s="12">
        <v>18</v>
      </c>
    </row>
    <row r="361" spans="1:8" x14ac:dyDescent="0.25">
      <c r="A361" s="70">
        <v>42451</v>
      </c>
      <c r="B361" s="71">
        <v>0.39583333333333331</v>
      </c>
      <c r="C361" s="2" t="s">
        <v>36</v>
      </c>
      <c r="D361" s="14" t="s">
        <v>44</v>
      </c>
      <c r="E361" s="2" t="s">
        <v>192</v>
      </c>
      <c r="F361" s="101" t="s">
        <v>27</v>
      </c>
      <c r="G361" s="64" t="s">
        <v>42</v>
      </c>
      <c r="H361" s="72">
        <v>25</v>
      </c>
    </row>
    <row r="362" spans="1:8" x14ac:dyDescent="0.25">
      <c r="A362" s="47">
        <v>42451</v>
      </c>
      <c r="B362" s="48">
        <v>0.52083333333333337</v>
      </c>
      <c r="C362" s="12" t="s">
        <v>17</v>
      </c>
      <c r="D362" s="12" t="s">
        <v>13</v>
      </c>
      <c r="E362" s="12" t="s">
        <v>14</v>
      </c>
      <c r="F362" s="27" t="s">
        <v>176</v>
      </c>
      <c r="G362" s="50" t="s">
        <v>118</v>
      </c>
      <c r="H362" s="12">
        <v>20</v>
      </c>
    </row>
    <row r="363" spans="1:8" x14ac:dyDescent="0.25">
      <c r="A363" s="47">
        <v>42451</v>
      </c>
      <c r="B363" s="48">
        <v>0.58333333333333337</v>
      </c>
      <c r="C363" s="12" t="s">
        <v>26</v>
      </c>
      <c r="D363" s="12" t="s">
        <v>13</v>
      </c>
      <c r="E363" s="12" t="s">
        <v>14</v>
      </c>
      <c r="F363" s="27" t="s">
        <v>27</v>
      </c>
      <c r="G363" s="50"/>
      <c r="H363" s="12">
        <v>20</v>
      </c>
    </row>
    <row r="364" spans="1:8" x14ac:dyDescent="0.25">
      <c r="A364" s="47">
        <v>42452</v>
      </c>
      <c r="B364" s="48">
        <v>0.52083333333333337</v>
      </c>
      <c r="C364" s="12" t="s">
        <v>24</v>
      </c>
      <c r="D364" s="12" t="s">
        <v>13</v>
      </c>
      <c r="E364" s="12" t="s">
        <v>14</v>
      </c>
      <c r="F364" s="27" t="s">
        <v>199</v>
      </c>
      <c r="G364" s="50" t="s">
        <v>118</v>
      </c>
      <c r="H364" s="12">
        <v>25</v>
      </c>
    </row>
    <row r="365" spans="1:8" x14ac:dyDescent="0.25">
      <c r="A365" s="70">
        <v>42452</v>
      </c>
      <c r="B365" s="71">
        <v>0.58333333333333337</v>
      </c>
      <c r="C365" s="2" t="s">
        <v>36</v>
      </c>
      <c r="D365" s="14" t="s">
        <v>44</v>
      </c>
      <c r="E365" s="2" t="s">
        <v>192</v>
      </c>
      <c r="F365" s="101" t="s">
        <v>29</v>
      </c>
      <c r="G365" s="2" t="s">
        <v>156</v>
      </c>
      <c r="H365" s="72">
        <v>25</v>
      </c>
    </row>
    <row r="366" spans="1:8" x14ac:dyDescent="0.25">
      <c r="A366" s="47">
        <v>42452</v>
      </c>
      <c r="B366" s="48">
        <v>0.58333333333333337</v>
      </c>
      <c r="C366" s="12" t="s">
        <v>17</v>
      </c>
      <c r="D366" s="12" t="s">
        <v>13</v>
      </c>
      <c r="E366" s="12" t="s">
        <v>14</v>
      </c>
      <c r="F366" s="27" t="s">
        <v>199</v>
      </c>
      <c r="G366" s="50" t="s">
        <v>118</v>
      </c>
      <c r="H366" s="12">
        <v>25</v>
      </c>
    </row>
    <row r="367" spans="1:8" x14ac:dyDescent="0.25">
      <c r="A367" s="47">
        <v>42453</v>
      </c>
      <c r="B367" s="48">
        <v>0.52083333333333337</v>
      </c>
      <c r="C367" s="12" t="s">
        <v>26</v>
      </c>
      <c r="D367" s="12" t="s">
        <v>13</v>
      </c>
      <c r="E367" s="12" t="s">
        <v>14</v>
      </c>
      <c r="F367" s="27" t="s">
        <v>199</v>
      </c>
      <c r="G367" s="50" t="s">
        <v>118</v>
      </c>
      <c r="H367" s="12">
        <v>18</v>
      </c>
    </row>
    <row r="368" spans="1:8" x14ac:dyDescent="0.25">
      <c r="A368" s="97">
        <v>42457</v>
      </c>
      <c r="B368" s="98">
        <v>0.75</v>
      </c>
      <c r="C368" s="96" t="s">
        <v>154</v>
      </c>
      <c r="D368" s="14" t="s">
        <v>34</v>
      </c>
      <c r="E368" s="14"/>
      <c r="F368" s="89" t="s">
        <v>29</v>
      </c>
      <c r="G368" s="14" t="s">
        <v>153</v>
      </c>
      <c r="H368" s="90">
        <v>13</v>
      </c>
    </row>
    <row r="369" spans="1:9" x14ac:dyDescent="0.25">
      <c r="A369" s="10">
        <v>42458</v>
      </c>
      <c r="B369" s="11">
        <v>0.39583333333333331</v>
      </c>
      <c r="C369" s="12" t="s">
        <v>17</v>
      </c>
      <c r="D369" s="12" t="s">
        <v>13</v>
      </c>
      <c r="E369" s="12" t="s">
        <v>119</v>
      </c>
      <c r="F369" s="12" t="s">
        <v>57</v>
      </c>
      <c r="G369" s="12" t="s">
        <v>209</v>
      </c>
      <c r="H369" s="52">
        <v>15</v>
      </c>
    </row>
    <row r="370" spans="1:9" x14ac:dyDescent="0.25">
      <c r="A370" s="10">
        <v>42458</v>
      </c>
      <c r="B370" s="11">
        <v>0.52083333333333337</v>
      </c>
      <c r="C370" s="12" t="s">
        <v>12</v>
      </c>
      <c r="D370" s="12" t="s">
        <v>13</v>
      </c>
      <c r="E370" s="12" t="s">
        <v>197</v>
      </c>
      <c r="F370" s="12" t="s">
        <v>57</v>
      </c>
      <c r="G370" s="12" t="s">
        <v>209</v>
      </c>
      <c r="H370" s="52">
        <v>20</v>
      </c>
      <c r="I370" s="74"/>
    </row>
    <row r="371" spans="1:9" x14ac:dyDescent="0.25">
      <c r="A371" s="47">
        <v>42458</v>
      </c>
      <c r="B371" s="48">
        <v>0.58333333333333337</v>
      </c>
      <c r="C371" s="12" t="s">
        <v>12</v>
      </c>
      <c r="D371" s="12" t="s">
        <v>13</v>
      </c>
      <c r="E371" s="12" t="s">
        <v>197</v>
      </c>
      <c r="F371" s="27" t="s">
        <v>57</v>
      </c>
      <c r="G371" s="12" t="s">
        <v>209</v>
      </c>
      <c r="H371" s="12">
        <v>15</v>
      </c>
      <c r="I371" s="74"/>
    </row>
    <row r="372" spans="1:9" x14ac:dyDescent="0.25">
      <c r="A372" s="70">
        <v>42458</v>
      </c>
      <c r="B372" s="71">
        <v>0.75</v>
      </c>
      <c r="C372" s="2" t="s">
        <v>84</v>
      </c>
      <c r="D372" s="14" t="s">
        <v>44</v>
      </c>
      <c r="E372" s="2" t="s">
        <v>37</v>
      </c>
      <c r="F372" s="101" t="s">
        <v>27</v>
      </c>
      <c r="G372" s="2" t="s">
        <v>40</v>
      </c>
      <c r="H372" s="72">
        <v>25</v>
      </c>
    </row>
    <row r="373" spans="1:9" x14ac:dyDescent="0.25">
      <c r="A373" s="47">
        <v>42459</v>
      </c>
      <c r="B373" s="27">
        <v>0.45833333333333331</v>
      </c>
      <c r="C373" s="12" t="s">
        <v>26</v>
      </c>
      <c r="D373" s="12" t="s">
        <v>13</v>
      </c>
      <c r="E373" s="12" t="s">
        <v>14</v>
      </c>
      <c r="F373" s="12" t="s">
        <v>29</v>
      </c>
      <c r="G373" s="12" t="s">
        <v>210</v>
      </c>
      <c r="H373" s="12">
        <v>25</v>
      </c>
      <c r="I373" s="74"/>
    </row>
    <row r="374" spans="1:9" x14ac:dyDescent="0.25">
      <c r="A374" s="47">
        <v>42459</v>
      </c>
      <c r="B374" s="48">
        <v>0.51388888888888895</v>
      </c>
      <c r="C374" s="12" t="s">
        <v>20</v>
      </c>
      <c r="D374" s="12" t="s">
        <v>13</v>
      </c>
      <c r="E374" s="12" t="s">
        <v>14</v>
      </c>
      <c r="F374" s="27" t="s">
        <v>29</v>
      </c>
      <c r="G374" s="50" t="s">
        <v>182</v>
      </c>
      <c r="H374" s="51">
        <v>15</v>
      </c>
    </row>
    <row r="375" spans="1:9" x14ac:dyDescent="0.25">
      <c r="A375" s="75">
        <v>42459</v>
      </c>
      <c r="B375" s="9">
        <v>0.58333333333333337</v>
      </c>
      <c r="C375" s="12" t="s">
        <v>20</v>
      </c>
      <c r="D375" s="12" t="s">
        <v>13</v>
      </c>
      <c r="E375" s="12" t="s">
        <v>14</v>
      </c>
      <c r="F375" s="12" t="s">
        <v>29</v>
      </c>
      <c r="G375" s="14" t="s">
        <v>210</v>
      </c>
      <c r="H375" s="17">
        <v>10</v>
      </c>
    </row>
    <row r="376" spans="1:9" x14ac:dyDescent="0.25">
      <c r="A376" s="97">
        <v>42464</v>
      </c>
      <c r="B376" s="102">
        <v>0.39583333333333331</v>
      </c>
      <c r="C376" s="2" t="s">
        <v>33</v>
      </c>
      <c r="D376" s="14" t="s">
        <v>34</v>
      </c>
      <c r="E376" s="74"/>
      <c r="F376" s="14" t="s">
        <v>27</v>
      </c>
      <c r="G376" s="14" t="s">
        <v>188</v>
      </c>
      <c r="H376" s="90">
        <v>12</v>
      </c>
    </row>
    <row r="377" spans="1:9" x14ac:dyDescent="0.25">
      <c r="A377" s="70">
        <v>42464</v>
      </c>
      <c r="B377" s="71">
        <v>0.64583333333333337</v>
      </c>
      <c r="C377" s="2" t="s">
        <v>84</v>
      </c>
      <c r="D377" s="12" t="s">
        <v>44</v>
      </c>
      <c r="E377" s="2" t="s">
        <v>203</v>
      </c>
      <c r="F377" s="12" t="s">
        <v>25</v>
      </c>
      <c r="G377" s="1"/>
      <c r="H377" s="72">
        <v>7</v>
      </c>
    </row>
    <row r="378" spans="1:9" x14ac:dyDescent="0.25">
      <c r="A378" s="47">
        <v>42464</v>
      </c>
      <c r="B378" s="48">
        <v>0.79166666666666663</v>
      </c>
      <c r="C378" s="2" t="s">
        <v>20</v>
      </c>
      <c r="D378" s="12" t="s">
        <v>13</v>
      </c>
      <c r="E378" s="2" t="s">
        <v>14</v>
      </c>
      <c r="F378" s="27" t="s">
        <v>29</v>
      </c>
      <c r="G378" s="50" t="s">
        <v>148</v>
      </c>
      <c r="H378" s="72">
        <v>17</v>
      </c>
    </row>
    <row r="379" spans="1:9" x14ac:dyDescent="0.25">
      <c r="A379" s="70">
        <v>42465</v>
      </c>
      <c r="B379" s="71">
        <v>0.45833333333333331</v>
      </c>
      <c r="C379" s="2" t="s">
        <v>36</v>
      </c>
      <c r="D379" s="12" t="s">
        <v>44</v>
      </c>
      <c r="E379" s="2" t="s">
        <v>203</v>
      </c>
      <c r="F379" s="2" t="s">
        <v>29</v>
      </c>
      <c r="G379" s="2" t="s">
        <v>156</v>
      </c>
      <c r="H379" s="72">
        <v>20</v>
      </c>
    </row>
    <row r="380" spans="1:9" x14ac:dyDescent="0.25">
      <c r="A380" s="70">
        <v>42465</v>
      </c>
      <c r="B380" s="71">
        <v>0.52083333333333337</v>
      </c>
      <c r="C380" s="2" t="s">
        <v>36</v>
      </c>
      <c r="D380" s="12" t="s">
        <v>44</v>
      </c>
      <c r="E380" s="2" t="s">
        <v>204</v>
      </c>
      <c r="F380" s="2" t="s">
        <v>57</v>
      </c>
      <c r="G380" s="2" t="s">
        <v>40</v>
      </c>
      <c r="H380" s="72">
        <v>25</v>
      </c>
    </row>
    <row r="381" spans="1:9" x14ac:dyDescent="0.25">
      <c r="A381" s="70">
        <v>42465</v>
      </c>
      <c r="B381" s="71">
        <v>0.58333333333333337</v>
      </c>
      <c r="C381" s="2" t="s">
        <v>36</v>
      </c>
      <c r="D381" s="12" t="s">
        <v>44</v>
      </c>
      <c r="E381" s="2" t="s">
        <v>204</v>
      </c>
      <c r="F381" s="2" t="s">
        <v>57</v>
      </c>
      <c r="G381" s="2" t="s">
        <v>40</v>
      </c>
      <c r="H381" s="72">
        <v>25</v>
      </c>
    </row>
    <row r="382" spans="1:9" x14ac:dyDescent="0.25">
      <c r="A382" s="55">
        <v>42466</v>
      </c>
      <c r="B382" s="56">
        <v>0.75</v>
      </c>
      <c r="C382" s="103" t="s">
        <v>20</v>
      </c>
      <c r="D382" s="54" t="s">
        <v>13</v>
      </c>
      <c r="E382" s="103" t="s">
        <v>14</v>
      </c>
      <c r="F382" s="57" t="s">
        <v>29</v>
      </c>
      <c r="G382" s="58" t="s">
        <v>201</v>
      </c>
      <c r="H382" s="104">
        <v>16</v>
      </c>
    </row>
    <row r="383" spans="1:9" x14ac:dyDescent="0.25">
      <c r="A383" s="55">
        <v>42471</v>
      </c>
      <c r="B383" s="57">
        <v>0.33333333333333331</v>
      </c>
      <c r="C383" s="103" t="s">
        <v>20</v>
      </c>
      <c r="D383" s="54" t="s">
        <v>13</v>
      </c>
      <c r="E383" s="103" t="s">
        <v>14</v>
      </c>
      <c r="F383" s="57" t="s">
        <v>27</v>
      </c>
      <c r="G383" s="58" t="s">
        <v>100</v>
      </c>
      <c r="H383" s="104">
        <v>13</v>
      </c>
    </row>
    <row r="384" spans="1:9" x14ac:dyDescent="0.25">
      <c r="A384" s="10">
        <v>42471</v>
      </c>
      <c r="B384" s="11">
        <v>0.39583333333333331</v>
      </c>
      <c r="C384" s="12" t="s">
        <v>24</v>
      </c>
      <c r="D384" s="12" t="s">
        <v>13</v>
      </c>
      <c r="E384" s="12" t="s">
        <v>14</v>
      </c>
      <c r="F384" s="12" t="s">
        <v>57</v>
      </c>
      <c r="G384" s="58" t="s">
        <v>100</v>
      </c>
      <c r="H384" s="52">
        <v>25</v>
      </c>
    </row>
    <row r="385" spans="1:9" x14ac:dyDescent="0.25">
      <c r="A385" s="55">
        <v>42471</v>
      </c>
      <c r="B385" s="56">
        <v>0.52083333333333337</v>
      </c>
      <c r="C385" s="54" t="s">
        <v>12</v>
      </c>
      <c r="D385" s="54" t="s">
        <v>13</v>
      </c>
      <c r="E385" s="54" t="s">
        <v>14</v>
      </c>
      <c r="F385" s="57" t="s">
        <v>57</v>
      </c>
      <c r="G385" s="58" t="s">
        <v>100</v>
      </c>
      <c r="H385" s="54">
        <v>25</v>
      </c>
    </row>
    <row r="386" spans="1:9" x14ac:dyDescent="0.25">
      <c r="A386" s="55">
        <v>42471</v>
      </c>
      <c r="B386" s="57">
        <v>0.75</v>
      </c>
      <c r="C386" s="54" t="s">
        <v>12</v>
      </c>
      <c r="D386" s="54" t="s">
        <v>13</v>
      </c>
      <c r="E386" s="54" t="s">
        <v>14</v>
      </c>
      <c r="F386" s="57" t="s">
        <v>29</v>
      </c>
      <c r="G386" s="58" t="s">
        <v>30</v>
      </c>
      <c r="H386" s="105">
        <v>23</v>
      </c>
    </row>
    <row r="387" spans="1:9" x14ac:dyDescent="0.25">
      <c r="A387" s="70">
        <v>42472</v>
      </c>
      <c r="B387" s="71">
        <v>0.45833333333333331</v>
      </c>
      <c r="C387" s="2" t="s">
        <v>36</v>
      </c>
      <c r="D387" s="12" t="s">
        <v>44</v>
      </c>
      <c r="E387" s="2" t="s">
        <v>39</v>
      </c>
      <c r="F387" s="2" t="s">
        <v>57</v>
      </c>
      <c r="G387" s="64" t="s">
        <v>42</v>
      </c>
      <c r="H387" s="72">
        <v>25</v>
      </c>
    </row>
    <row r="388" spans="1:9" x14ac:dyDescent="0.25">
      <c r="A388" s="47">
        <v>42474</v>
      </c>
      <c r="B388" s="48">
        <v>0.45833333333333331</v>
      </c>
      <c r="C388" s="54" t="s">
        <v>17</v>
      </c>
      <c r="D388" s="54" t="s">
        <v>13</v>
      </c>
      <c r="E388" s="54" t="s">
        <v>14</v>
      </c>
      <c r="F388" s="57" t="s">
        <v>202</v>
      </c>
      <c r="G388" s="50" t="s">
        <v>118</v>
      </c>
      <c r="H388" s="105">
        <v>20</v>
      </c>
    </row>
    <row r="389" spans="1:9" x14ac:dyDescent="0.25">
      <c r="A389" s="10">
        <v>42479</v>
      </c>
      <c r="B389" s="11">
        <v>0.75</v>
      </c>
      <c r="C389" s="12" t="s">
        <v>31</v>
      </c>
      <c r="D389" s="12" t="s">
        <v>13</v>
      </c>
      <c r="E389" s="12" t="s">
        <v>14</v>
      </c>
      <c r="F389" s="12" t="s">
        <v>57</v>
      </c>
      <c r="G389" s="50" t="s">
        <v>100</v>
      </c>
      <c r="H389" s="52">
        <v>25</v>
      </c>
    </row>
    <row r="390" spans="1:9" x14ac:dyDescent="0.25">
      <c r="A390" s="97">
        <v>42506</v>
      </c>
      <c r="B390" s="98">
        <v>0.72916666666666663</v>
      </c>
      <c r="C390" s="95" t="s">
        <v>154</v>
      </c>
      <c r="D390" s="12" t="s">
        <v>34</v>
      </c>
      <c r="E390" s="74" t="s">
        <v>205</v>
      </c>
      <c r="F390" s="14" t="s">
        <v>91</v>
      </c>
      <c r="G390" s="14" t="s">
        <v>92</v>
      </c>
      <c r="H390" s="90">
        <v>9</v>
      </c>
    </row>
    <row r="391" spans="1:9" x14ac:dyDescent="0.25">
      <c r="A391" s="47">
        <v>42513</v>
      </c>
      <c r="B391" s="48">
        <v>0.41666666666666669</v>
      </c>
      <c r="C391" s="103" t="s">
        <v>20</v>
      </c>
      <c r="D391" s="54" t="s">
        <v>13</v>
      </c>
      <c r="E391" s="103" t="s">
        <v>14</v>
      </c>
      <c r="F391" s="57" t="s">
        <v>94</v>
      </c>
      <c r="G391" s="50" t="s">
        <v>182</v>
      </c>
      <c r="H391" s="104">
        <v>14</v>
      </c>
    </row>
    <row r="392" spans="1:9" x14ac:dyDescent="0.25">
      <c r="A392" s="47">
        <v>42513</v>
      </c>
      <c r="B392" s="48">
        <v>0.52083333333333337</v>
      </c>
      <c r="C392" s="103" t="s">
        <v>17</v>
      </c>
      <c r="D392" s="54" t="s">
        <v>13</v>
      </c>
      <c r="E392" s="103" t="s">
        <v>14</v>
      </c>
      <c r="F392" s="57" t="s">
        <v>15</v>
      </c>
      <c r="G392" s="50" t="s">
        <v>16</v>
      </c>
      <c r="H392" s="104">
        <v>15</v>
      </c>
    </row>
    <row r="393" spans="1:9" x14ac:dyDescent="0.25">
      <c r="A393" s="47">
        <v>42514</v>
      </c>
      <c r="B393" s="48">
        <v>0.41666666666666669</v>
      </c>
      <c r="C393" s="103" t="s">
        <v>20</v>
      </c>
      <c r="D393" s="54" t="s">
        <v>13</v>
      </c>
      <c r="E393" s="103" t="s">
        <v>14</v>
      </c>
      <c r="F393" s="57" t="s">
        <v>94</v>
      </c>
      <c r="G393" s="50" t="s">
        <v>182</v>
      </c>
      <c r="H393" s="103">
        <v>17</v>
      </c>
    </row>
    <row r="394" spans="1:9" x14ac:dyDescent="0.25">
      <c r="A394" s="97">
        <v>42514</v>
      </c>
      <c r="B394" s="98">
        <v>0.4375</v>
      </c>
      <c r="C394" s="96" t="s">
        <v>33</v>
      </c>
      <c r="D394" s="12" t="s">
        <v>34</v>
      </c>
      <c r="E394" s="74" t="s">
        <v>206</v>
      </c>
      <c r="F394" s="14" t="s">
        <v>29</v>
      </c>
      <c r="G394" s="14" t="s">
        <v>124</v>
      </c>
      <c r="H394" s="99">
        <v>11</v>
      </c>
    </row>
    <row r="395" spans="1:9" x14ac:dyDescent="0.25">
      <c r="A395" s="80">
        <v>42521</v>
      </c>
      <c r="B395" s="81">
        <v>0.4375</v>
      </c>
      <c r="C395" s="82" t="s">
        <v>36</v>
      </c>
      <c r="D395" s="37" t="s">
        <v>44</v>
      </c>
      <c r="E395" s="82" t="s">
        <v>37</v>
      </c>
      <c r="F395" s="82" t="s">
        <v>27</v>
      </c>
      <c r="G395" s="82" t="s">
        <v>40</v>
      </c>
      <c r="H395" s="20">
        <v>25</v>
      </c>
      <c r="I395" s="25"/>
    </row>
    <row r="396" spans="1:9" x14ac:dyDescent="0.25">
      <c r="A396" s="47">
        <v>42521</v>
      </c>
      <c r="B396" s="48">
        <v>0.625</v>
      </c>
      <c r="C396" s="103" t="s">
        <v>12</v>
      </c>
      <c r="D396" s="54" t="s">
        <v>13</v>
      </c>
      <c r="E396" s="103" t="s">
        <v>14</v>
      </c>
      <c r="F396" s="57" t="s">
        <v>25</v>
      </c>
      <c r="G396" s="50"/>
      <c r="H396" s="103">
        <v>5</v>
      </c>
    </row>
    <row r="397" spans="1:9" x14ac:dyDescent="0.25">
      <c r="A397" s="10">
        <v>42521</v>
      </c>
      <c r="B397" s="11">
        <v>0.70833333333333337</v>
      </c>
      <c r="C397" s="12" t="s">
        <v>17</v>
      </c>
      <c r="D397" s="12" t="s">
        <v>13</v>
      </c>
      <c r="E397" s="12" t="s">
        <v>14</v>
      </c>
      <c r="F397" s="12" t="s">
        <v>25</v>
      </c>
      <c r="G397" s="12"/>
      <c r="H397" s="52">
        <v>4</v>
      </c>
    </row>
    <row r="398" spans="1:9" x14ac:dyDescent="0.25">
      <c r="A398" s="47">
        <v>42522</v>
      </c>
      <c r="B398" s="48">
        <v>0.5</v>
      </c>
      <c r="C398" s="82" t="s">
        <v>12</v>
      </c>
      <c r="D398" s="54" t="s">
        <v>13</v>
      </c>
      <c r="E398" s="82" t="s">
        <v>14</v>
      </c>
      <c r="F398" s="57" t="s">
        <v>25</v>
      </c>
      <c r="G398" s="50"/>
      <c r="H398" s="59">
        <v>6</v>
      </c>
    </row>
    <row r="399" spans="1:9" x14ac:dyDescent="0.25">
      <c r="A399" s="97">
        <v>42522</v>
      </c>
      <c r="B399" s="91">
        <v>0.54166666666666663</v>
      </c>
      <c r="C399" s="82" t="s">
        <v>33</v>
      </c>
      <c r="D399" s="54" t="s">
        <v>34</v>
      </c>
      <c r="E399" s="74"/>
      <c r="F399" s="14" t="s">
        <v>27</v>
      </c>
      <c r="G399" s="14" t="s">
        <v>125</v>
      </c>
      <c r="H399" s="90">
        <v>15</v>
      </c>
    </row>
    <row r="400" spans="1:9" x14ac:dyDescent="0.25">
      <c r="A400" s="47">
        <v>42522</v>
      </c>
      <c r="B400" s="48">
        <v>0.70833333333333337</v>
      </c>
      <c r="C400" s="82" t="s">
        <v>17</v>
      </c>
      <c r="D400" s="54" t="s">
        <v>13</v>
      </c>
      <c r="E400" s="82" t="s">
        <v>14</v>
      </c>
      <c r="F400" s="57" t="s">
        <v>25</v>
      </c>
      <c r="G400" s="50"/>
      <c r="H400" s="59">
        <v>4</v>
      </c>
    </row>
    <row r="401" spans="1:8" x14ac:dyDescent="0.25">
      <c r="A401" s="70">
        <v>42523</v>
      </c>
      <c r="B401" s="71">
        <v>0.51041666666666663</v>
      </c>
      <c r="C401" s="2" t="s">
        <v>36</v>
      </c>
      <c r="D401" s="54" t="s">
        <v>44</v>
      </c>
      <c r="E401" s="2" t="s">
        <v>203</v>
      </c>
      <c r="F401" s="2" t="s">
        <v>25</v>
      </c>
      <c r="G401" s="1"/>
      <c r="H401" s="72">
        <v>8</v>
      </c>
    </row>
    <row r="402" spans="1:8" x14ac:dyDescent="0.25">
      <c r="A402" s="47">
        <v>42527</v>
      </c>
      <c r="B402" s="48">
        <v>0.57291666666666663</v>
      </c>
      <c r="C402" s="82" t="s">
        <v>12</v>
      </c>
      <c r="D402" s="54" t="s">
        <v>13</v>
      </c>
      <c r="E402" s="82" t="s">
        <v>14</v>
      </c>
      <c r="F402" s="57" t="s">
        <v>27</v>
      </c>
      <c r="G402" s="50" t="s">
        <v>32</v>
      </c>
      <c r="H402" s="59">
        <v>25</v>
      </c>
    </row>
    <row r="403" spans="1:8" x14ac:dyDescent="0.25">
      <c r="A403" s="47">
        <v>42528</v>
      </c>
      <c r="B403" s="48">
        <v>0.35416666666666669</v>
      </c>
      <c r="C403" s="82" t="s">
        <v>20</v>
      </c>
      <c r="D403" s="54" t="s">
        <v>13</v>
      </c>
      <c r="E403" s="82" t="s">
        <v>14</v>
      </c>
      <c r="F403" s="57" t="s">
        <v>27</v>
      </c>
      <c r="G403" s="50" t="s">
        <v>100</v>
      </c>
      <c r="H403" s="59">
        <v>20</v>
      </c>
    </row>
    <row r="404" spans="1:8" x14ac:dyDescent="0.25">
      <c r="A404" s="70">
        <v>42528</v>
      </c>
      <c r="B404" s="71">
        <v>0.75</v>
      </c>
      <c r="C404" s="2" t="s">
        <v>36</v>
      </c>
      <c r="D404" s="54" t="s">
        <v>44</v>
      </c>
      <c r="E404" s="2" t="s">
        <v>37</v>
      </c>
      <c r="F404" s="2" t="s">
        <v>208</v>
      </c>
      <c r="G404" s="2" t="s">
        <v>207</v>
      </c>
      <c r="H404" s="72">
        <v>20</v>
      </c>
    </row>
    <row r="405" spans="1:8" x14ac:dyDescent="0.25">
      <c r="A405" s="97">
        <v>42536</v>
      </c>
      <c r="B405" s="91">
        <v>0.72916666666666663</v>
      </c>
      <c r="C405" s="82" t="s">
        <v>154</v>
      </c>
      <c r="D405" s="54" t="s">
        <v>34</v>
      </c>
      <c r="E405" s="74"/>
      <c r="F405" s="14" t="s">
        <v>27</v>
      </c>
      <c r="G405" s="14" t="s">
        <v>126</v>
      </c>
      <c r="H405" s="90">
        <v>8</v>
      </c>
    </row>
    <row r="406" spans="1:8" x14ac:dyDescent="0.25">
      <c r="A406" s="97">
        <v>42548</v>
      </c>
      <c r="B406" s="91">
        <v>0.625</v>
      </c>
      <c r="C406" s="82" t="s">
        <v>33</v>
      </c>
      <c r="D406" s="54" t="s">
        <v>34</v>
      </c>
      <c r="E406" s="74"/>
      <c r="F406" s="14" t="s">
        <v>91</v>
      </c>
      <c r="G406" s="14" t="s">
        <v>92</v>
      </c>
      <c r="H406" s="90">
        <v>7</v>
      </c>
    </row>
    <row r="407" spans="1:8" x14ac:dyDescent="0.25">
      <c r="A407" s="97">
        <v>42549</v>
      </c>
      <c r="B407" s="91">
        <v>0.72916666666666663</v>
      </c>
      <c r="C407" s="82" t="s">
        <v>154</v>
      </c>
      <c r="D407" s="54" t="s">
        <v>34</v>
      </c>
      <c r="E407" s="74"/>
      <c r="F407" s="14" t="s">
        <v>57</v>
      </c>
      <c r="G407" s="14" t="s">
        <v>126</v>
      </c>
      <c r="H407" s="90">
        <v>10</v>
      </c>
    </row>
    <row r="408" spans="1:8" x14ac:dyDescent="0.25">
      <c r="A408" s="97">
        <v>42550</v>
      </c>
      <c r="B408" s="91">
        <v>0.4375</v>
      </c>
      <c r="C408" s="82" t="s">
        <v>33</v>
      </c>
      <c r="D408" s="54" t="s">
        <v>34</v>
      </c>
      <c r="E408" s="74"/>
      <c r="F408" s="89" t="s">
        <v>79</v>
      </c>
      <c r="G408" s="14" t="s">
        <v>93</v>
      </c>
      <c r="H408" s="90">
        <v>15</v>
      </c>
    </row>
    <row r="409" spans="1:8" x14ac:dyDescent="0.25">
      <c r="A409" s="47">
        <v>42550</v>
      </c>
      <c r="B409" s="48">
        <v>0.4375</v>
      </c>
      <c r="C409" s="82" t="s">
        <v>17</v>
      </c>
      <c r="D409" s="54" t="s">
        <v>13</v>
      </c>
      <c r="E409" s="82" t="s">
        <v>14</v>
      </c>
      <c r="F409" s="57" t="s">
        <v>15</v>
      </c>
      <c r="G409" s="50" t="s">
        <v>16</v>
      </c>
      <c r="H409" s="82">
        <v>23</v>
      </c>
    </row>
    <row r="410" spans="1:8" x14ac:dyDescent="0.25">
      <c r="A410" s="107">
        <v>42556</v>
      </c>
      <c r="B410" s="108">
        <v>0.375</v>
      </c>
      <c r="C410" s="109" t="s">
        <v>20</v>
      </c>
      <c r="D410" s="62" t="s">
        <v>13</v>
      </c>
      <c r="E410" s="109" t="s">
        <v>14</v>
      </c>
      <c r="F410" s="63" t="s">
        <v>29</v>
      </c>
      <c r="G410" s="110" t="s">
        <v>99</v>
      </c>
      <c r="H410" s="111">
        <v>22</v>
      </c>
    </row>
    <row r="411" spans="1:8" x14ac:dyDescent="0.25">
      <c r="A411" s="112">
        <v>42557</v>
      </c>
      <c r="B411" s="113">
        <v>0.60416666666666663</v>
      </c>
      <c r="C411" s="62" t="s">
        <v>31</v>
      </c>
      <c r="D411" s="62" t="s">
        <v>13</v>
      </c>
      <c r="E411" s="109" t="s">
        <v>14</v>
      </c>
      <c r="F411" s="64" t="s">
        <v>23</v>
      </c>
      <c r="G411" s="114" t="s">
        <v>211</v>
      </c>
      <c r="H411" s="62">
        <v>15</v>
      </c>
    </row>
    <row r="412" spans="1:8" x14ac:dyDescent="0.25">
      <c r="A412" s="107">
        <v>42557</v>
      </c>
      <c r="B412" s="108">
        <v>0.75</v>
      </c>
      <c r="C412" s="109" t="s">
        <v>12</v>
      </c>
      <c r="D412" s="62" t="s">
        <v>13</v>
      </c>
      <c r="E412" s="109" t="s">
        <v>14</v>
      </c>
      <c r="F412" s="63" t="s">
        <v>212</v>
      </c>
      <c r="G412" s="110" t="s">
        <v>213</v>
      </c>
      <c r="H412" s="111">
        <v>15</v>
      </c>
    </row>
    <row r="413" spans="1:8" ht="16.5" x14ac:dyDescent="0.3">
      <c r="A413" s="80">
        <v>42559</v>
      </c>
      <c r="B413" s="81">
        <v>0.52083333333333337</v>
      </c>
      <c r="C413" s="82" t="s">
        <v>36</v>
      </c>
      <c r="D413" s="62" t="s">
        <v>44</v>
      </c>
      <c r="E413" s="82" t="s">
        <v>192</v>
      </c>
      <c r="F413" s="63" t="s">
        <v>25</v>
      </c>
      <c r="G413" s="119"/>
      <c r="H413" s="20">
        <v>8</v>
      </c>
    </row>
    <row r="414" spans="1:8" x14ac:dyDescent="0.25">
      <c r="A414" s="107">
        <v>42562</v>
      </c>
      <c r="B414" s="108">
        <v>0.64583333333333337</v>
      </c>
      <c r="C414" s="109" t="s">
        <v>20</v>
      </c>
      <c r="D414" s="62" t="s">
        <v>34</v>
      </c>
      <c r="E414" s="109" t="s">
        <v>14</v>
      </c>
      <c r="F414" s="63" t="s">
        <v>29</v>
      </c>
      <c r="G414" s="110" t="s">
        <v>100</v>
      </c>
      <c r="H414" s="111">
        <v>22</v>
      </c>
    </row>
    <row r="415" spans="1:8" x14ac:dyDescent="0.25">
      <c r="A415" s="115">
        <v>42563</v>
      </c>
      <c r="B415" s="116">
        <v>0.35416666666666669</v>
      </c>
      <c r="C415" s="64" t="s">
        <v>20</v>
      </c>
      <c r="D415" s="109" t="s">
        <v>13</v>
      </c>
      <c r="E415" s="64" t="s">
        <v>14</v>
      </c>
      <c r="F415" s="64" t="s">
        <v>27</v>
      </c>
      <c r="G415" s="64" t="s">
        <v>100</v>
      </c>
      <c r="H415" s="65">
        <v>20</v>
      </c>
    </row>
    <row r="416" spans="1:8" ht="16.5" x14ac:dyDescent="0.3">
      <c r="A416" s="80">
        <v>42565</v>
      </c>
      <c r="B416" s="81">
        <v>0.51041666666666663</v>
      </c>
      <c r="C416" s="82" t="s">
        <v>36</v>
      </c>
      <c r="D416" s="62" t="s">
        <v>44</v>
      </c>
      <c r="E416" s="82" t="s">
        <v>43</v>
      </c>
      <c r="F416" s="63" t="s">
        <v>25</v>
      </c>
      <c r="G416" s="119"/>
      <c r="H416" s="20">
        <v>8</v>
      </c>
    </row>
    <row r="417" spans="1:11" ht="16.5" x14ac:dyDescent="0.3">
      <c r="A417" s="80">
        <v>42565</v>
      </c>
      <c r="B417" s="81">
        <v>0.58333333333333337</v>
      </c>
      <c r="C417" s="82" t="s">
        <v>36</v>
      </c>
      <c r="D417" s="62" t="s">
        <v>44</v>
      </c>
      <c r="E417" s="82" t="s">
        <v>43</v>
      </c>
      <c r="F417" s="63" t="s">
        <v>25</v>
      </c>
      <c r="G417" s="119"/>
      <c r="H417" s="20">
        <v>8</v>
      </c>
    </row>
    <row r="418" spans="1:11" ht="16.5" x14ac:dyDescent="0.3">
      <c r="A418" s="115">
        <v>42565</v>
      </c>
      <c r="B418" s="116">
        <v>0.6875</v>
      </c>
      <c r="C418" s="64" t="s">
        <v>12</v>
      </c>
      <c r="D418" s="62" t="s">
        <v>13</v>
      </c>
      <c r="E418" s="64" t="s">
        <v>14</v>
      </c>
      <c r="F418" s="64" t="s">
        <v>22</v>
      </c>
      <c r="G418" s="117" t="s">
        <v>21</v>
      </c>
      <c r="H418" s="65">
        <v>25</v>
      </c>
    </row>
    <row r="419" spans="1:11" x14ac:dyDescent="0.25">
      <c r="A419" s="80">
        <v>42569</v>
      </c>
      <c r="B419" s="81">
        <v>0.45833333333333331</v>
      </c>
      <c r="C419" s="82" t="s">
        <v>36</v>
      </c>
      <c r="D419" s="62" t="s">
        <v>44</v>
      </c>
      <c r="E419" s="82" t="s">
        <v>37</v>
      </c>
      <c r="F419" s="82" t="s">
        <v>27</v>
      </c>
      <c r="G419" s="82" t="s">
        <v>38</v>
      </c>
      <c r="H419" s="20">
        <v>25</v>
      </c>
    </row>
    <row r="420" spans="1:11" ht="16.5" x14ac:dyDescent="0.3">
      <c r="A420" s="115">
        <v>42569</v>
      </c>
      <c r="B420" s="116">
        <v>0.5625</v>
      </c>
      <c r="C420" s="118" t="s">
        <v>33</v>
      </c>
      <c r="D420" s="62" t="s">
        <v>34</v>
      </c>
      <c r="E420" s="64"/>
      <c r="F420" s="63" t="s">
        <v>25</v>
      </c>
      <c r="G420" s="117"/>
      <c r="H420" s="65">
        <v>16</v>
      </c>
      <c r="I420" s="74"/>
      <c r="J420" s="74"/>
      <c r="K420" s="74"/>
    </row>
    <row r="421" spans="1:11" ht="16.5" x14ac:dyDescent="0.3">
      <c r="A421" s="115">
        <v>42569</v>
      </c>
      <c r="B421" s="116">
        <v>0.5625</v>
      </c>
      <c r="C421" s="118" t="s">
        <v>12</v>
      </c>
      <c r="D421" s="62" t="s">
        <v>13</v>
      </c>
      <c r="E421" s="64" t="s">
        <v>14</v>
      </c>
      <c r="F421" s="63" t="s">
        <v>25</v>
      </c>
      <c r="G421" s="117"/>
      <c r="H421" s="65">
        <v>33</v>
      </c>
      <c r="I421" s="74"/>
      <c r="J421" s="74"/>
      <c r="K421" s="74"/>
    </row>
    <row r="422" spans="1:11" x14ac:dyDescent="0.25">
      <c r="A422" s="107">
        <v>42569</v>
      </c>
      <c r="B422" s="108">
        <v>0.64583333333333337</v>
      </c>
      <c r="C422" s="109" t="s">
        <v>33</v>
      </c>
      <c r="D422" s="62" t="s">
        <v>34</v>
      </c>
      <c r="E422" s="109"/>
      <c r="F422" s="63" t="s">
        <v>29</v>
      </c>
      <c r="G422" s="110" t="s">
        <v>100</v>
      </c>
      <c r="H422" s="111">
        <v>21</v>
      </c>
      <c r="I422" s="74"/>
      <c r="J422" s="74"/>
      <c r="K422" s="74"/>
    </row>
    <row r="423" spans="1:11" x14ac:dyDescent="0.25">
      <c r="A423" s="107">
        <v>42571</v>
      </c>
      <c r="B423" s="108">
        <v>0.4375</v>
      </c>
      <c r="C423" s="109" t="s">
        <v>20</v>
      </c>
      <c r="D423" s="62" t="s">
        <v>13</v>
      </c>
      <c r="E423" s="109" t="s">
        <v>14</v>
      </c>
      <c r="F423" s="63" t="s">
        <v>25</v>
      </c>
      <c r="G423" s="110"/>
      <c r="H423" s="111">
        <v>15</v>
      </c>
      <c r="I423" s="74"/>
      <c r="J423" s="74"/>
      <c r="K423" s="74"/>
    </row>
    <row r="424" spans="1:11" ht="16.5" x14ac:dyDescent="0.3">
      <c r="A424" s="115">
        <v>42571</v>
      </c>
      <c r="B424" s="116">
        <v>0.70833333333333337</v>
      </c>
      <c r="C424" s="64" t="s">
        <v>26</v>
      </c>
      <c r="D424" s="62" t="s">
        <v>13</v>
      </c>
      <c r="E424" s="64" t="s">
        <v>14</v>
      </c>
      <c r="F424" s="64" t="s">
        <v>25</v>
      </c>
      <c r="G424" s="117"/>
      <c r="H424" s="65">
        <v>16</v>
      </c>
    </row>
    <row r="425" spans="1:11" ht="16.5" x14ac:dyDescent="0.3">
      <c r="A425" s="115">
        <v>42572</v>
      </c>
      <c r="B425" s="116">
        <v>0.4375</v>
      </c>
      <c r="C425" s="118" t="s">
        <v>17</v>
      </c>
      <c r="D425" s="62" t="s">
        <v>13</v>
      </c>
      <c r="E425" s="64" t="s">
        <v>14</v>
      </c>
      <c r="F425" s="64" t="s">
        <v>25</v>
      </c>
      <c r="G425" s="117"/>
      <c r="H425" s="65">
        <v>8</v>
      </c>
    </row>
    <row r="426" spans="1:11" x14ac:dyDescent="0.25">
      <c r="A426" s="115">
        <v>42572</v>
      </c>
      <c r="B426" s="116">
        <v>0.58333333333333337</v>
      </c>
      <c r="C426" s="64" t="s">
        <v>12</v>
      </c>
      <c r="D426" s="62" t="s">
        <v>13</v>
      </c>
      <c r="E426" s="64" t="s">
        <v>14</v>
      </c>
      <c r="F426" s="64" t="s">
        <v>25</v>
      </c>
      <c r="G426" s="64"/>
      <c r="H426" s="65">
        <v>5</v>
      </c>
    </row>
    <row r="427" spans="1:11" x14ac:dyDescent="0.25">
      <c r="A427" s="107">
        <v>42576</v>
      </c>
      <c r="B427" s="108">
        <v>0.375</v>
      </c>
      <c r="C427" s="109" t="s">
        <v>12</v>
      </c>
      <c r="D427" s="62" t="s">
        <v>13</v>
      </c>
      <c r="E427" s="109" t="s">
        <v>14</v>
      </c>
      <c r="F427" s="63" t="s">
        <v>23</v>
      </c>
      <c r="G427" s="39" t="s">
        <v>123</v>
      </c>
      <c r="H427" s="111">
        <v>20</v>
      </c>
    </row>
    <row r="428" spans="1:11" x14ac:dyDescent="0.25">
      <c r="A428" s="80">
        <v>42576</v>
      </c>
      <c r="B428" s="81">
        <v>0.45833333333333331</v>
      </c>
      <c r="C428" s="82" t="s">
        <v>36</v>
      </c>
      <c r="D428" s="62" t="s">
        <v>44</v>
      </c>
      <c r="E428" s="82" t="s">
        <v>39</v>
      </c>
      <c r="F428" s="82" t="s">
        <v>27</v>
      </c>
      <c r="G428" s="82" t="s">
        <v>42</v>
      </c>
      <c r="H428" s="20">
        <v>25</v>
      </c>
    </row>
    <row r="429" spans="1:11" x14ac:dyDescent="0.25">
      <c r="A429" s="80">
        <v>42577</v>
      </c>
      <c r="B429" s="81">
        <v>0.60416666666666663</v>
      </c>
      <c r="C429" s="82" t="s">
        <v>36</v>
      </c>
      <c r="D429" s="62" t="s">
        <v>44</v>
      </c>
      <c r="E429" s="82" t="s">
        <v>37</v>
      </c>
      <c r="F429" s="82" t="s">
        <v>27</v>
      </c>
      <c r="G429" s="82" t="s">
        <v>42</v>
      </c>
      <c r="H429" s="20">
        <v>25</v>
      </c>
    </row>
    <row r="430" spans="1:11" x14ac:dyDescent="0.25">
      <c r="A430" s="107">
        <v>42577</v>
      </c>
      <c r="B430" s="108">
        <v>0.76041666666666663</v>
      </c>
      <c r="C430" s="109" t="s">
        <v>24</v>
      </c>
      <c r="D430" s="62" t="s">
        <v>13</v>
      </c>
      <c r="E430" s="109" t="s">
        <v>14</v>
      </c>
      <c r="F430" s="63" t="s">
        <v>29</v>
      </c>
      <c r="G430" s="110" t="s">
        <v>214</v>
      </c>
      <c r="H430" s="111">
        <v>25</v>
      </c>
    </row>
    <row r="431" spans="1:11" x14ac:dyDescent="0.25">
      <c r="A431" s="80">
        <v>42578</v>
      </c>
      <c r="B431" s="81">
        <v>0.52083333333333337</v>
      </c>
      <c r="C431" s="82" t="s">
        <v>36</v>
      </c>
      <c r="D431" s="62" t="s">
        <v>44</v>
      </c>
      <c r="E431" s="82" t="s">
        <v>216</v>
      </c>
      <c r="F431" s="82" t="s">
        <v>217</v>
      </c>
      <c r="G431" s="82" t="s">
        <v>218</v>
      </c>
      <c r="H431" s="20">
        <v>20</v>
      </c>
    </row>
    <row r="432" spans="1:11" ht="16.5" x14ac:dyDescent="0.3">
      <c r="A432" s="115">
        <v>42578</v>
      </c>
      <c r="B432" s="116">
        <v>0.75</v>
      </c>
      <c r="C432" s="64" t="s">
        <v>17</v>
      </c>
      <c r="D432" s="62" t="s">
        <v>13</v>
      </c>
      <c r="E432" s="64" t="s">
        <v>14</v>
      </c>
      <c r="F432" s="63" t="s">
        <v>29</v>
      </c>
      <c r="G432" s="117" t="s">
        <v>215</v>
      </c>
      <c r="H432" s="65">
        <v>20</v>
      </c>
    </row>
  </sheetData>
  <sortState ref="A2:K432">
    <sortCondition ref="A2:A432"/>
    <sortCondition ref="B2:B432"/>
    <sortCondition ref="D2:D432"/>
  </sortState>
  <printOptions horizontalCentered="1" gridLines="1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Normal="100" workbookViewId="0">
      <selection activeCell="T7" sqref="T7"/>
    </sheetView>
  </sheetViews>
  <sheetFormatPr defaultRowHeight="15" x14ac:dyDescent="0.25"/>
  <cols>
    <col min="1" max="9" width="9.140625" style="15"/>
    <col min="10" max="21" width="7.7109375" style="15" customWidth="1"/>
    <col min="22" max="16384" width="9.140625" style="15"/>
  </cols>
  <sheetData>
    <row r="1" spans="1:21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  <c r="I1" s="8"/>
      <c r="J1" s="8"/>
      <c r="K1" s="8"/>
    </row>
    <row r="2" spans="1:21" ht="26.25" x14ac:dyDescent="0.4">
      <c r="A2" s="132" t="s">
        <v>233</v>
      </c>
      <c r="B2" s="132"/>
      <c r="C2" s="132"/>
      <c r="D2" s="132"/>
      <c r="E2" s="132"/>
      <c r="F2" s="132"/>
      <c r="G2" s="132"/>
      <c r="H2" s="132"/>
      <c r="I2" s="16"/>
    </row>
    <row r="4" spans="1:21" ht="15.75" x14ac:dyDescent="0.25">
      <c r="A4" s="5" t="s">
        <v>244</v>
      </c>
    </row>
    <row r="5" spans="1:21" ht="11.1" customHeight="1" x14ac:dyDescent="0.25">
      <c r="A5" s="6"/>
      <c r="J5" s="130">
        <v>42186</v>
      </c>
      <c r="K5" s="130">
        <v>42217</v>
      </c>
      <c r="L5" s="130">
        <v>42248</v>
      </c>
      <c r="M5" s="130">
        <v>42278</v>
      </c>
      <c r="N5" s="130">
        <v>42309</v>
      </c>
      <c r="O5" s="130">
        <v>42339</v>
      </c>
      <c r="P5" s="130">
        <v>42370</v>
      </c>
      <c r="Q5" s="130">
        <v>42401</v>
      </c>
      <c r="R5" s="130">
        <v>42430</v>
      </c>
      <c r="S5" s="130">
        <v>42461</v>
      </c>
      <c r="T5" s="130">
        <v>42491</v>
      </c>
      <c r="U5" s="130">
        <v>42522</v>
      </c>
    </row>
    <row r="6" spans="1:21" ht="15.75" x14ac:dyDescent="0.25">
      <c r="A6" s="7" t="s">
        <v>229</v>
      </c>
      <c r="B6" s="2"/>
      <c r="C6" s="4"/>
      <c r="H6" s="15">
        <f>COUNTIFS(Data!A2:$A$65471,"&gt;=7/1/2015", Data!A2:$A$65471,"&lt;=6/30/2016", Data!D2:$D$65471, "LEE")</f>
        <v>257</v>
      </c>
      <c r="J6" s="74">
        <f>COUNTIFS(Data!A2:$A$65471,"&gt;=7/1/2015", Data!A2:$A$65471,"&lt;=7/31/2015", Data!D2:$D$65471, "LEE")</f>
        <v>12</v>
      </c>
      <c r="K6" s="74">
        <f>COUNTIFS(Data!$A2:B$65471,"&gt;=8/1/2015", Data!$A2:B$65471,"&lt;=8/31/2015", Data!$D2:E$65471, "LEE")</f>
        <v>7</v>
      </c>
      <c r="L6" s="74">
        <f>COUNTIFS(Data!$A2:C$65471,"&gt;=9/1/2015", Data!$A2:C$65471,"&lt;=9/30/2015", Data!$D2:F$65471, "LEE")</f>
        <v>42</v>
      </c>
      <c r="M6" s="74">
        <f>COUNTIFS(Data!$A2:D$65471,"&gt;=10/1/2015", Data!$A2:D$65471,"&lt;=10/31/2015", Data!$D2:G$65471, "LEE")</f>
        <v>59</v>
      </c>
      <c r="N6" s="74">
        <f>COUNTIFS(Data!$A2:E$65471,"&gt;=11/1/2015", Data!$A2:E$65471,"&lt;=11/30/2015", Data!$D2:H$65471, "LEE")</f>
        <v>22</v>
      </c>
      <c r="O6" s="74">
        <f>COUNTIFS(Data!$A2:F$65471,"&gt;=12/1/2015", Data!$A2:F$65471,"&lt;=12/31/2015", Data!$D2:I$65471, "LEE")</f>
        <v>0</v>
      </c>
      <c r="P6" s="74">
        <f>COUNTIFS(Data!$A2:G$65471,"&gt;=1/1/2016", Data!$A2:G$65471,"&lt;=1/31/2016", Data!$D2:J$65471, "LEE")</f>
        <v>28</v>
      </c>
      <c r="Q6" s="74">
        <f>COUNTIFS(Data!$A2:H$65471,"&gt;=2/1/2016", Data!$A2:H$65471,"&lt;=2/29/2016", Data!$D2:K$65471, "LEE")</f>
        <v>44</v>
      </c>
      <c r="R6" s="74">
        <f>COUNTIFS(Data!$A2:I$65471,"&gt;=3/1/2016", Data!$A2:I$65471,"&lt;=3/31/2016", Data!$D2:L$65471, "LEE")</f>
        <v>25</v>
      </c>
      <c r="S6" s="74">
        <f>COUNTIFS(Data!$A2:J$65471,"&gt;=4/1/2016", Data!$A2:J$65471,"&lt;=4/30/2016", Data!$D2:M$65471, "LEE")</f>
        <v>8</v>
      </c>
      <c r="T6" s="74">
        <f>COUNTIFS(Data!$A2:K$65471,"&gt;=5/1/2016", Data!$A2:K$65471,"&lt;=5/31/2016", Data!$D2:N$65471, "LEE")</f>
        <v>5</v>
      </c>
      <c r="U6" s="74">
        <f>COUNTIFS(Data!$A2:L$65471,"&gt;=6/1/2016", Data!$A2:L$65471,"&lt;=6/30/2016", Data!$D2:O$65471, "LEE")</f>
        <v>5</v>
      </c>
    </row>
    <row r="7" spans="1:21" ht="15.75" x14ac:dyDescent="0.25">
      <c r="A7" s="7" t="s">
        <v>230</v>
      </c>
      <c r="B7" s="2"/>
      <c r="C7" s="4"/>
      <c r="H7" s="15">
        <f>SUMIFS(Data!H2:$H$65471, Data!A2:$A$65471,"&gt;=7/1/2015", Data!A2:$A$65471,"&lt;=6/30/2016", Data!D2:$D$65471, "LEE")</f>
        <v>5282</v>
      </c>
      <c r="J7" s="74">
        <f>SUMIFS(Data!H2:$H$65471, Data!A2:$A$65471,"&gt;=7/1/2015", Data!A2:$A$65471,"&lt;=7/31/2015", Data!D2:$D$65471, "LEE")</f>
        <v>157</v>
      </c>
      <c r="K7" s="74">
        <f>SUMIFS(Data!$H2:I$65471, Data!$A2:B$65471,"&gt;=8/1/2015", Data!$A2:B$65471,"&lt;=8/31/2015", Data!$D2:E$65471, "LEE")</f>
        <v>206</v>
      </c>
      <c r="L7" s="74">
        <f>SUMIFS(Data!$H2:J$65471, Data!$A2:C$65471,"&gt;=9/1/2015", Data!$A2:C$65471,"&lt;=9/30/2015", Data!$D2:F$65471, "LEE")</f>
        <v>930</v>
      </c>
      <c r="M7" s="74">
        <f>SUMIFS(Data!$H2:K$65471, Data!$A2:D$65471,"&gt;=10/1/2015", Data!$A2:D$65471,"&lt;=10/31/2015", Data!$D2:G$65471, "LEE")</f>
        <v>1278</v>
      </c>
      <c r="N7" s="74">
        <f>SUMIFS(Data!$H2:L$65471, Data!$A2:E$65471,"&gt;=11/1/2015", Data!$A2:E$65471,"&lt;=11/30/2015", Data!$D2:H$65471, "LEE")</f>
        <v>459</v>
      </c>
      <c r="O7" s="74">
        <f>SUMIFS(Data!$H2:M$65471, Data!$A2:F$65471,"&gt;=12/1/2015", Data!$A2:F$65471,"&lt;=12/31/2015", Data!$D2:I$65471, "LEE")</f>
        <v>0</v>
      </c>
      <c r="P7" s="74">
        <f>SUMIFS(Data!$H2:N$65471, Data!$A2:G$65471,"&gt;=1/1/2016", Data!$A2:G$65471,"&lt;=1/31/2016", Data!$D2:J$65471, "LEE")</f>
        <v>578</v>
      </c>
      <c r="Q7" s="74">
        <f>SUMIFS(Data!$H2:O$65471, Data!$A2:H$65471,"&gt;=2/1/2016", Data!$A2:H$65471,"&lt;=2/29/2016", Data!$D2:K$65471, "LEE")</f>
        <v>882</v>
      </c>
      <c r="R7" s="74">
        <f>SUMIFS(Data!$H2:P$65471, Data!$A2:I$65471,"&gt;=3/1/2016", Data!$A2:I$65471,"&lt;=3/31/2016", Data!$D2:L$65471, "LEE")</f>
        <v>495</v>
      </c>
      <c r="S7" s="74">
        <f>SUMIFS(Data!$H2:Q$65471, Data!$A2:J$65471,"&gt;=4/1/2016", Data!$A2:J$65471,"&lt;=4/30/2016", Data!$D2:M$65471, "LEE")</f>
        <v>164</v>
      </c>
      <c r="T7" s="74">
        <f>SUMIFS(Data!$H2:R$65471, Data!$A2:K$65471,"&gt;=5/1/2016", Data!$A2:K$65471,"&lt;=5/31/2016", Data!$D2:N$65471, "LEE")</f>
        <v>55</v>
      </c>
      <c r="U7" s="74">
        <f>SUMIFS(Data!$H2:S$65471, Data!$A2:L$65471,"&gt;=6/1/2016", Data!$A2:L$65471,"&lt;=6/30/2016", Data!$D2:O$65471, "LEE")</f>
        <v>78</v>
      </c>
    </row>
    <row r="8" spans="1:21" ht="11.1" customHeight="1" x14ac:dyDescent="0.25">
      <c r="A8" s="6"/>
    </row>
    <row r="9" spans="1:21" ht="15.75" x14ac:dyDescent="0.25">
      <c r="A9" s="5" t="s">
        <v>9</v>
      </c>
    </row>
    <row r="10" spans="1:21" ht="11.1" customHeight="1" x14ac:dyDescent="0.25">
      <c r="A10" s="6"/>
      <c r="J10" s="130">
        <v>42186</v>
      </c>
      <c r="K10" s="130">
        <v>42217</v>
      </c>
      <c r="L10" s="130">
        <v>42248</v>
      </c>
      <c r="M10" s="130">
        <v>42278</v>
      </c>
      <c r="N10" s="130">
        <v>42309</v>
      </c>
      <c r="O10" s="130">
        <v>42339</v>
      </c>
      <c r="P10" s="130">
        <v>42370</v>
      </c>
      <c r="Q10" s="130">
        <v>42401</v>
      </c>
      <c r="R10" s="130">
        <v>42430</v>
      </c>
      <c r="S10" s="130">
        <v>42461</v>
      </c>
      <c r="T10" s="130">
        <v>42491</v>
      </c>
      <c r="U10" s="130">
        <v>42522</v>
      </c>
    </row>
    <row r="11" spans="1:21" ht="15.75" x14ac:dyDescent="0.25">
      <c r="A11" s="7" t="s">
        <v>231</v>
      </c>
      <c r="B11" s="2"/>
      <c r="C11" s="4"/>
      <c r="H11" s="15">
        <f>COUNTIFS(Data!A2:$A$65471,"&gt;=7/1/2015", Data!A2:$A$65471,"&lt;=6/30/2016", Data!D2:$D$65471, "CHARLOTTE")</f>
        <v>61</v>
      </c>
      <c r="J11" s="74">
        <f>COUNTIFS(Data!A2:$A$65471,"&gt;=7/1/2015", Data!A2:$A$65471,"&lt;=7/31/2015", Data!D2:$D$65471, "CHARLOTTE")</f>
        <v>1</v>
      </c>
      <c r="K11" s="74">
        <f>COUNTIFS(Data!$A7:B$65471,"&gt;=8/1/2015", Data!$A7:B$65471,"&lt;=8/31/2015", Data!$D7:E$65471, "CHARLOTTE")</f>
        <v>3</v>
      </c>
      <c r="L11" s="74">
        <f>COUNTIFS(Data!$A7:C$65471,"&gt;=9/1/2015", Data!$A7:C$65471,"&lt;=9/30/2015", Data!$D7:F$65471, "CHARLOTTE")</f>
        <v>12</v>
      </c>
      <c r="M11" s="74">
        <f>COUNTIFS(Data!$A7:D$65471,"&gt;=10/1/2015", Data!$A7:D$65471,"&lt;=10/31/2015", Data!$D7:G$65471, "CHARLOTTE")</f>
        <v>12</v>
      </c>
      <c r="N11" s="74">
        <f>COUNTIFS(Data!$A7:E$65471,"&gt;=11/1/2015", Data!$A7:E$65471,"&lt;=11/30/2015", Data!$D7:H$65471, "CHARLOTTE")</f>
        <v>5</v>
      </c>
      <c r="O11" s="74">
        <f>COUNTIFS(Data!$A7:F$65471,"&gt;=12/1/2015", Data!$A7:F$65471,"&lt;=12/31/2015", Data!$D7:I$65471, "CHARLOTTE")</f>
        <v>0</v>
      </c>
      <c r="P11" s="74">
        <f>COUNTIFS(Data!$A7:G$65471,"&gt;=1/1/2016", Data!$A7:G$65471,"&lt;=1/31/2016", Data!$D7:J$65471, "CHARLOTTE")</f>
        <v>3</v>
      </c>
      <c r="Q11" s="74">
        <f>COUNTIFS(Data!$A7:H$65471,"&gt;=2/1/2016", Data!$A7:H$65471,"&lt;=2/29/2016", Data!$D7:K$65471, "CHARLOTTE")</f>
        <v>13</v>
      </c>
      <c r="R11" s="74">
        <f>COUNTIFS(Data!$A7:I$65471,"&gt;=3/1/2016", Data!$A7:I$65471,"&lt;=3/31/2016", Data!$D7:L$65471, "CHARLOTTE")</f>
        <v>4</v>
      </c>
      <c r="S11" s="74">
        <f>COUNTIFS(Data!$A7:J$65471,"&gt;=4/1/2016", Data!$A7:J$65471,"&lt;=4/30/2016", Data!$D7:M$65471, "CHARLOTTE")</f>
        <v>1</v>
      </c>
      <c r="T11" s="74">
        <f>COUNTIFS(Data!$A7:K$65471,"&gt;=5/1/2016", Data!$A7:K$65471,"&lt;=5/31/2016", Data!$D7:N$65471, "CHARLOTTE")</f>
        <v>2</v>
      </c>
      <c r="U11" s="74">
        <f>COUNTIFS(Data!$A7:L$65471,"&gt;=6/1/2016", Data!$A7:L$65471,"&lt;=6/30/2016", Data!$D7:O$65471, "CHARLOTTE")</f>
        <v>5</v>
      </c>
    </row>
    <row r="12" spans="1:21" ht="15.75" x14ac:dyDescent="0.25">
      <c r="A12" s="7" t="s">
        <v>230</v>
      </c>
      <c r="B12" s="2"/>
      <c r="C12" s="4"/>
      <c r="H12" s="15">
        <f>SUMIFS(Data!H2:$H$65471, Data!A2:$A$65471,"&gt;=7/1/2015", Data!A2:$A$65471,"&lt;=6/30/2016", Data!D2:$D$65471, "CHARLOTTE")</f>
        <v>886</v>
      </c>
      <c r="J12" s="74">
        <f>SUMIFS(Data!H2:$H$65471, Data!A2:$A$65471,"&gt;=7/1/2015", Data!A2:$A$65471,"&lt;=7/31/2015", Data!D2:$D$65471, "CHARLOTTE")</f>
        <v>2</v>
      </c>
      <c r="K12" s="74">
        <f>SUMIFS(Data!$H7:I$65471, Data!$A7:B$65471,"&gt;=8/1/2015", Data!$A7:B$65471,"&lt;=8/31/2015", Data!$D7:E$65471, "CHARLOTTE")</f>
        <v>80</v>
      </c>
      <c r="L12" s="74">
        <f>SUMIFS(Data!$H7:J$65471, Data!$A7:C$65471,"&gt;=9/1/2015", Data!$A7:C$65471,"&lt;=9/30/2015", Data!$D7:F$65471, "CHARLOTTE")</f>
        <v>161</v>
      </c>
      <c r="M12" s="74">
        <f>SUMIFS(Data!$H7:K$65471, Data!$A7:D$65471,"&gt;=10/1/2015", Data!$A7:D$65471,"&lt;=10/31/2015", Data!$D7:G$65471, "CHARLOTTE")</f>
        <v>197</v>
      </c>
      <c r="N12" s="74">
        <f>SUMIFS(Data!$H7:L$65471, Data!$A7:E$65471,"&gt;=11/1/2015", Data!$A7:E$65471,"&lt;=11/30/2015", Data!$D7:H$65471, "CHARLOTTE")</f>
        <v>88</v>
      </c>
      <c r="O12" s="74">
        <f>SUMIFS(Data!$H7:M$65471, Data!$A7:F$65471,"&gt;=12/1/2015", Data!$A7:F$65471,"&lt;=12/31/2015", Data!$D7:I$65471, "CHARLOTTE")</f>
        <v>0</v>
      </c>
      <c r="P12" s="74">
        <f>SUMIFS(Data!$H7:N$65471, Data!$A7:G$65471,"&gt;=1/1/2016", Data!$A7:G$65471,"&lt;=1/31/2016", Data!$D7:J$65471, "CHARLOTTE")</f>
        <v>31</v>
      </c>
      <c r="Q12" s="74">
        <f>SUMIFS(Data!$H7:O$65471, Data!$A7:H$65471,"&gt;=2/1/2016", Data!$A7:H$65471,"&lt;=2/29/2016", Data!$D7:K$65471, "CHARLOTTE")</f>
        <v>208</v>
      </c>
      <c r="R12" s="74">
        <f>SUMIFS(Data!$H7:P$65471, Data!$A7:I$65471,"&gt;=3/1/2016", Data!$A7:I$65471,"&lt;=3/31/2016", Data!$D7:L$65471, "CHARLOTTE")</f>
        <v>32</v>
      </c>
      <c r="S12" s="74">
        <f>SUMIFS(Data!$H7:Q$65471, Data!$A7:J$65471,"&gt;=4/1/2016", Data!$A7:J$65471,"&lt;=4/30/2016", Data!$D7:M$65471, "CHARLOTTE")</f>
        <v>12</v>
      </c>
      <c r="T12" s="74">
        <f>SUMIFS(Data!$H7:R$65471, Data!$A7:K$65471,"&gt;=5/1/2016", Data!$A7:K$65471,"&lt;=5/31/2016", Data!$D7:N$65471, "CHARLOTTE")</f>
        <v>20</v>
      </c>
      <c r="U12" s="74">
        <f>SUMIFS(Data!$H7:S$65471, Data!$A7:L$65471,"&gt;=6/1/2016", Data!$A7:L$65471,"&lt;=6/30/2016", Data!$D7:O$65471, "CHARLOTTE")</f>
        <v>55</v>
      </c>
    </row>
    <row r="13" spans="1:21" ht="11.1" customHeight="1" x14ac:dyDescent="0.25">
      <c r="A13" s="6"/>
    </row>
    <row r="14" spans="1:21" ht="15.75" x14ac:dyDescent="0.25">
      <c r="A14" s="5" t="s">
        <v>10</v>
      </c>
    </row>
    <row r="15" spans="1:21" ht="11.1" customHeight="1" x14ac:dyDescent="0.25">
      <c r="A15" s="6"/>
      <c r="J15" s="130">
        <v>42186</v>
      </c>
      <c r="K15" s="130">
        <v>42217</v>
      </c>
      <c r="L15" s="130">
        <v>42248</v>
      </c>
      <c r="M15" s="130">
        <v>42278</v>
      </c>
      <c r="N15" s="130">
        <v>42309</v>
      </c>
      <c r="O15" s="130">
        <v>42339</v>
      </c>
      <c r="P15" s="130">
        <v>42370</v>
      </c>
      <c r="Q15" s="130">
        <v>42401</v>
      </c>
      <c r="R15" s="130">
        <v>42430</v>
      </c>
      <c r="S15" s="130">
        <v>42461</v>
      </c>
      <c r="T15" s="130">
        <v>42491</v>
      </c>
      <c r="U15" s="130">
        <v>42522</v>
      </c>
    </row>
    <row r="16" spans="1:21" ht="15.75" x14ac:dyDescent="0.25">
      <c r="A16" s="7" t="s">
        <v>231</v>
      </c>
      <c r="B16" s="2"/>
      <c r="C16" s="4"/>
      <c r="H16" s="15">
        <f>COUNTIFS(Data!A2:$A$65471,"&gt;=7/1/2015", Data!A2:$A$65471,"&lt;=6/30/2016", Data!D2:$D$65471, "COLLIER")</f>
        <v>86</v>
      </c>
      <c r="J16" s="74">
        <f>COUNTIFS(Data!A2:$A$65471,"&gt;=7/1/2015", Data!A2:$A$65471,"&lt;=7/31/2015", Data!D2:$D$65471, "COLLIER")</f>
        <v>12</v>
      </c>
      <c r="K16" s="74">
        <f>COUNTIFS(Data!$A12:B$65471,"&gt;=8/1/2015", Data!$A12:B$65471,"&lt;=8/31/2015", Data!$D12:E$65471, "COLLIER")</f>
        <v>0</v>
      </c>
      <c r="L16" s="74">
        <f>COUNTIFS(Data!$A12:C$65471,"&gt;=9/1/2015", Data!$A12:C$65471,"&lt;=9/30/2015", Data!$D12:F$65471, "COLLIER")</f>
        <v>18</v>
      </c>
      <c r="M16" s="74">
        <f>COUNTIFS(Data!$A12:D$65471,"&gt;=10/1/2015", Data!$A12:D$65471,"&lt;=10/31/2015", Data!$D12:G$65471, "COLLIER")</f>
        <v>16</v>
      </c>
      <c r="N16" s="74">
        <f>COUNTIFS(Data!$A12:E$65471,"&gt;=11/1/2015", Data!$A12:E$65471,"&lt;=11/30/2015", Data!$D12:H$65471, "COLLIER")</f>
        <v>7</v>
      </c>
      <c r="O16" s="74">
        <f>COUNTIFS(Data!$A12:F$65471,"&gt;=12/1/2015", Data!$A12:F$65471,"&lt;=12/31/2015", Data!$D12:I$65471, "COLLIER")</f>
        <v>0</v>
      </c>
      <c r="P16" s="74">
        <f>COUNTIFS(Data!$A12:G$65471,"&gt;=1/1/2016", Data!$A12:G$65471,"&lt;=1/31/2016", Data!$D12:J$65471, "COLLIER")</f>
        <v>12</v>
      </c>
      <c r="Q16" s="74">
        <f>COUNTIFS(Data!$A12:H$65471,"&gt;=2/1/2016", Data!$A12:H$65471,"&lt;=2/29/2016", Data!$D12:K$65471, "COLLIER")</f>
        <v>8</v>
      </c>
      <c r="R16" s="74">
        <f>COUNTIFS(Data!$A12:I$65471,"&gt;=3/1/2016", Data!$A12:I$65471,"&lt;=3/31/2016", Data!$D12:L$65471, "COLLIER")</f>
        <v>5</v>
      </c>
      <c r="S16" s="74">
        <f>COUNTIFS(Data!$A12:J$65471,"&gt;=4/1/2016", Data!$A12:J$65471,"&lt;=4/30/2016", Data!$D12:M$65471, "COLLIER")</f>
        <v>5</v>
      </c>
      <c r="T16" s="74">
        <f>COUNTIFS(Data!$A12:K$65471,"&gt;=5/1/2016", Data!$A12:K$65471,"&lt;=5/31/2016", Data!$D12:N$65471, "COLLIER")</f>
        <v>1</v>
      </c>
      <c r="U16" s="74">
        <f>COUNTIFS(Data!$A12:L$65471,"&gt;=6/1/2016", Data!$A12:L$65471,"&lt;=6/30/2016", Data!$D12:O$65471, "COLLIER")</f>
        <v>2</v>
      </c>
    </row>
    <row r="17" spans="1:21" ht="15.75" x14ac:dyDescent="0.25">
      <c r="A17" s="7" t="s">
        <v>230</v>
      </c>
      <c r="B17" s="2"/>
      <c r="C17" s="4"/>
      <c r="H17" s="15">
        <f>SUMIFS(Data!H2:$H$65471, Data!A2:$A$65471,"&gt;=7/1/2015", Data!A2:$A$65471,"&lt;=6/30/2016", Data!D2:$D$65471, "COLLIER")</f>
        <v>1728</v>
      </c>
      <c r="J17" s="74">
        <f>SUMIFS(Data!H2:$H$65471, Data!A2:$A$65471,"&gt;=7/1/2015", Data!A2:$A$65471,"&lt;=7/31/2015", Data!D2:$D$65471, "COLLIER")</f>
        <v>154</v>
      </c>
      <c r="K17" s="74">
        <f>SUMIFS(Data!$H12:I$65471, Data!$A12:B$65471,"&gt;=8/1/2015", Data!$A12:B$65471,"&lt;=8/31/2015", Data!$D12:E$65471, "COLLIER")</f>
        <v>0</v>
      </c>
      <c r="L17" s="74">
        <f>SUMIFS(Data!$H12:J$65471, Data!$A12:C$65471,"&gt;=9/1/2015", Data!$A12:C$65471,"&lt;=9/30/2015", Data!$D12:F$65471, "COLLIER")</f>
        <v>386</v>
      </c>
      <c r="M17" s="74">
        <f>SUMIFS(Data!$H12:K$65471, Data!$A12:D$65471,"&gt;=10/1/2015", Data!$A12:D$65471,"&lt;=10/31/2015", Data!$D12:G$65471, "COLLIER")</f>
        <v>365</v>
      </c>
      <c r="N17" s="74">
        <f>SUMIFS(Data!$H12:L$65471, Data!$A12:E$65471,"&gt;=11/1/2015", Data!$A12:E$65471,"&lt;=11/30/2015", Data!$D12:H$65471, "COLLIER")</f>
        <v>175</v>
      </c>
      <c r="O17" s="74">
        <f>SUMIFS(Data!$H12:M$65471, Data!$A12:F$65471,"&gt;=12/1/2015", Data!$A12:F$65471,"&lt;=12/31/2015", Data!$D12:I$65471, "COLLIER")</f>
        <v>0</v>
      </c>
      <c r="P17" s="74">
        <f>SUMIFS(Data!$H12:N$65471, Data!$A12:G$65471,"&gt;=1/1/2016", Data!$A12:G$65471,"&lt;=1/31/2016", Data!$D12:J$65471, "COLLIER")</f>
        <v>168</v>
      </c>
      <c r="Q17" s="74">
        <f>SUMIFS(Data!$H12:O$65471, Data!$A12:H$65471,"&gt;=2/1/2016", Data!$A12:H$65471,"&lt;=2/29/2016", Data!$D12:K$65471, "COLLIER")</f>
        <v>200</v>
      </c>
      <c r="R17" s="74">
        <f>SUMIFS(Data!$H12:P$65471, Data!$A12:I$65471,"&gt;=3/1/2016", Data!$A12:I$65471,"&lt;=3/31/2016", Data!$D12:L$65471, "COLLIER")</f>
        <v>125</v>
      </c>
      <c r="S17" s="74">
        <f>SUMIFS(Data!$H12:Q$65471, Data!$A12:J$65471,"&gt;=4/1/2016", Data!$A12:J$65471,"&lt;=4/30/2016", Data!$D12:M$65471, "COLLIER")</f>
        <v>102</v>
      </c>
      <c r="T17" s="74">
        <f>SUMIFS(Data!$H12:R$65471, Data!$A12:K$65471,"&gt;=5/1/2016", Data!$A12:K$65471,"&lt;=5/31/2016", Data!$D12:N$65471, "COLLIER")</f>
        <v>25</v>
      </c>
      <c r="U17" s="74">
        <f>SUMIFS(Data!$H12:S$65471, Data!$A12:L$65471,"&gt;=6/1/2016", Data!$A12:L$65471,"&lt;=6/30/2016", Data!$D12:O$65471, "COLLIER")</f>
        <v>28</v>
      </c>
    </row>
    <row r="18" spans="1:21" ht="11.1" customHeight="1" x14ac:dyDescent="0.25">
      <c r="A18" s="6"/>
    </row>
    <row r="19" spans="1:21" ht="15.75" x14ac:dyDescent="0.25">
      <c r="A19" s="5" t="s">
        <v>11</v>
      </c>
    </row>
    <row r="20" spans="1:21" ht="11.1" customHeight="1" x14ac:dyDescent="0.25">
      <c r="A20" s="6"/>
      <c r="J20" s="130">
        <v>42186</v>
      </c>
      <c r="K20" s="130">
        <v>42217</v>
      </c>
      <c r="L20" s="130">
        <v>42248</v>
      </c>
      <c r="M20" s="130">
        <v>42278</v>
      </c>
      <c r="N20" s="130">
        <v>42309</v>
      </c>
      <c r="O20" s="130">
        <v>42339</v>
      </c>
      <c r="P20" s="130">
        <v>42370</v>
      </c>
      <c r="Q20" s="130">
        <v>42401</v>
      </c>
      <c r="R20" s="130">
        <v>42430</v>
      </c>
      <c r="S20" s="130">
        <v>42461</v>
      </c>
      <c r="T20" s="130">
        <v>42491</v>
      </c>
      <c r="U20" s="130">
        <v>42522</v>
      </c>
    </row>
    <row r="21" spans="1:21" ht="15.75" x14ac:dyDescent="0.25">
      <c r="A21" s="7" t="s">
        <v>231</v>
      </c>
      <c r="B21" s="2"/>
      <c r="C21" s="4"/>
      <c r="H21" s="15">
        <f>COUNTIFS(Data!A2:$A$65471,"&gt;=7/1/2015", Data!A2:$A$65471,"&lt;=6/30/2016", Data!D2:$D$65471, "HENDRY/GLADES")</f>
        <v>4</v>
      </c>
      <c r="J21" s="74">
        <f>COUNTIFS(Data!A2:$A$65471,"&gt;=7/1/2015", Data!A2:$A$65471,"&lt;=7/31/2015", Data!D2:$D$65471, "HENDRY/GLADES")</f>
        <v>0</v>
      </c>
      <c r="K21" s="74">
        <f>COUNTIFS(Data!$A17:B$65471,"&gt;=8/1/2015", Data!$A17:B$65471,"&lt;=8/31/2015", Data!$D17:E$65471, "HENDRY/GLADES")</f>
        <v>0</v>
      </c>
      <c r="L21" s="74">
        <f>COUNTIFS(Data!$A17:C$65471,"&gt;=9/1/2015", Data!$A17:C$65471,"&lt;=9/30/2015", Data!$D17:F$65471, "HENDRY/GLADES")</f>
        <v>0</v>
      </c>
      <c r="M21" s="74">
        <f>COUNTIFS(Data!$A17:D$65471,"&gt;=10/1/2015", Data!$A17:D$65471,"&lt;=10/31/2015", Data!$D17:G$65471, "HENDRY/GLADES")</f>
        <v>1</v>
      </c>
      <c r="N21" s="74">
        <f>COUNTIFS(Data!$A17:E$65471,"&gt;=11/1/2015", Data!$A17:E$65471,"&lt;=11/30/2015", Data!$D17:H$65471, "HENDRY/GLADES")</f>
        <v>0</v>
      </c>
      <c r="O21" s="74">
        <f>COUNTIFS(Data!$A17:F$65471,"&gt;=12/1/2015", Data!$A17:F$65471,"&lt;=12/31/2015", Data!$D17:I$65471, "HENDRY/GLADES")</f>
        <v>0</v>
      </c>
      <c r="P21" s="74">
        <f>COUNTIFS(Data!$A17:G$65471,"&gt;=1/1/2016", Data!$A17:G$65471,"&lt;=1/31/2016", Data!$D17:J$65471, "HENDRY/GLADES")</f>
        <v>0</v>
      </c>
      <c r="Q21" s="74">
        <f>COUNTIFS(Data!$A17:H$65471,"&gt;=2/1/2016", Data!$A17:H$65471,"&lt;=2/29/2016", Data!$D17:K$65471, "HENDRY/GLADES")</f>
        <v>1</v>
      </c>
      <c r="R21" s="74">
        <f>COUNTIFS(Data!$A17:I$65471,"&gt;=3/1/2016", Data!$A17:I$65471,"&lt;=3/31/2016", Data!$D17:L$65471, "HENDRY/GLADES")</f>
        <v>2</v>
      </c>
      <c r="S21" s="74">
        <f>COUNTIFS(Data!$A17:J$65471,"&gt;=4/1/2016", Data!$A17:J$65471,"&lt;=4/30/2016", Data!$D17:M$65471, "HENDRY/GLADES")</f>
        <v>0</v>
      </c>
      <c r="T21" s="74">
        <f>COUNTIFS(Data!$A17:K$65471,"&gt;=5/1/2016", Data!$A17:K$65471,"&lt;=5/31/2016", Data!$D17:N$65471, "HENDRY/GLADES")</f>
        <v>0</v>
      </c>
      <c r="U21" s="74">
        <f>COUNTIFS(Data!$A17:L$65471,"&gt;=6/1/2016", Data!$A17:L$65471,"&lt;=6/30/2016", Data!$D17:O$65471, "HENDRY/GLADES")</f>
        <v>0</v>
      </c>
    </row>
    <row r="22" spans="1:21" ht="15.75" x14ac:dyDescent="0.25">
      <c r="A22" s="7" t="s">
        <v>230</v>
      </c>
      <c r="B22" s="2"/>
      <c r="C22" s="4"/>
      <c r="H22" s="15">
        <f>SUMIFS(Data!H2:$H$65471, Data!A2:$A$65471,"&gt;=7/1/2015", Data!A2:$A$65471,"&lt;=6/30/2016", Data!D2:$D$65471, "HENDRY/GLADES")</f>
        <v>19</v>
      </c>
      <c r="J22" s="74">
        <f>SUMIFS(Data!H2:$H$65471, Data!A2:$A$65471,"&gt;=7/1/2015", Data!A2:$A$65471,"&lt;=7/31/2015", Data!D2:$D$65471, "HENDRY/GLADES")</f>
        <v>0</v>
      </c>
      <c r="K22" s="74">
        <f>SUMIFS(Data!$H17:I$65471, Data!$A17:B$65471,"&gt;=8/1/2015", Data!$A17:B$65471,"&lt;=8/31/2015", Data!$D17:E$65471, "HENDRY/GLADES")</f>
        <v>0</v>
      </c>
      <c r="L22" s="74">
        <f>SUMIFS(Data!$H17:J$65471, Data!$A17:C$65471,"&gt;=9/1/2015", Data!$A17:C$65471,"&lt;=9/30/2015", Data!$D17:F$65471, "HENDRY/GLADES")</f>
        <v>0</v>
      </c>
      <c r="M22" s="74">
        <f>SUMIFS(Data!$H17:K$65471, Data!$A17:D$65471,"&gt;=10/1/2015", Data!$A17:D$65471,"&lt;=10/31/2015", Data!$D17:G$65471, "HENDRY/GLADES")</f>
        <v>6</v>
      </c>
      <c r="N22" s="74">
        <f>SUMIFS(Data!$H17:L$65471, Data!$A17:E$65471,"&gt;=11/1/2015", Data!$A17:E$65471,"&lt;=11/30/2015", Data!$D17:H$65471, "HENDRY/GLADES")</f>
        <v>0</v>
      </c>
      <c r="O22" s="74">
        <f>SUMIFS(Data!$H17:M$65471, Data!$A17:F$65471,"&gt;=12/1/2015", Data!$A17:F$65471,"&lt;=12/31/2015", Data!$D17:I$65471, "HENDRY/GLADES")</f>
        <v>0</v>
      </c>
      <c r="P22" s="74">
        <f>SUMIFS(Data!$H17:N$65471, Data!$A17:G$65471,"&gt;=1/1/2016", Data!$A17:G$65471,"&lt;=1/31/2016", Data!$D17:J$65471, "HENDRY/GLADES")</f>
        <v>0</v>
      </c>
      <c r="Q22" s="74">
        <f>SUMIFS(Data!$H17:O$65471, Data!$A17:H$65471,"&gt;=2/1/2016", Data!$A17:H$65471,"&lt;=2/29/2016", Data!$D17:K$65471, "HENDRY/GLADES")</f>
        <v>5</v>
      </c>
      <c r="R22" s="74">
        <f>SUMIFS(Data!$H17:P$65471, Data!$A17:I$65471,"&gt;=3/1/2016", Data!$A17:I$65471,"&lt;=3/31/2016", Data!$D17:L$65471, "HENDRY/GLADES")</f>
        <v>8</v>
      </c>
      <c r="S22" s="74">
        <f>SUMIFS(Data!$H17:Q$65471, Data!$A17:J$65471,"&gt;=4/1/2016", Data!$A17:J$65471,"&lt;=4/30/2016", Data!$D17:M$65471, "HENDRY/GLADES")</f>
        <v>0</v>
      </c>
      <c r="T22" s="74">
        <f>SUMIFS(Data!$H17:R$65471, Data!$A17:K$65471,"&gt;=5/1/2016", Data!$A17:K$65471,"&lt;=5/31/2016", Data!$D17:N$65471, "HENDRY/GLADES")</f>
        <v>0</v>
      </c>
      <c r="U22" s="74">
        <f>SUMIFS(Data!$H17:S$65471, Data!$A17:L$65471,"&gt;=6/1/2016", Data!$A17:L$65471,"&lt;=6/30/2016", Data!$D17:O$65471, "HENDRY/GLADES")</f>
        <v>0</v>
      </c>
    </row>
  </sheetData>
  <mergeCells count="2">
    <mergeCell ref="A1:H1"/>
    <mergeCell ref="A2:H2"/>
  </mergeCells>
  <printOptions horizontalCentered="1" verticalCentered="1"/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4" sqref="H24"/>
    </sheetView>
  </sheetViews>
  <sheetFormatPr defaultRowHeight="15" x14ac:dyDescent="0.25"/>
  <sheetData>
    <row r="1" spans="1:8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6.25" x14ac:dyDescent="0.4">
      <c r="A2" s="132" t="s">
        <v>223</v>
      </c>
      <c r="B2" s="132"/>
      <c r="C2" s="132"/>
      <c r="D2" s="132"/>
      <c r="E2" s="132"/>
      <c r="F2" s="132"/>
      <c r="G2" s="132"/>
      <c r="H2" s="132"/>
    </row>
    <row r="3" spans="1:8" s="74" customFormat="1" ht="18.75" x14ac:dyDescent="0.3">
      <c r="A3" s="133" t="s">
        <v>245</v>
      </c>
      <c r="B3" s="133"/>
      <c r="C3" s="133"/>
      <c r="D3" s="133"/>
      <c r="E3" s="133"/>
      <c r="F3" s="133"/>
      <c r="G3" s="133"/>
      <c r="H3" s="133"/>
    </row>
    <row r="4" spans="1:8" x14ac:dyDescent="0.25">
      <c r="A4" s="74"/>
      <c r="B4" s="74"/>
      <c r="C4" s="74"/>
      <c r="D4" s="74"/>
      <c r="E4" s="74"/>
      <c r="F4" s="74"/>
      <c r="G4" s="74"/>
      <c r="H4" s="74"/>
    </row>
    <row r="5" spans="1:8" ht="15.75" x14ac:dyDescent="0.25">
      <c r="A5" s="5" t="s">
        <v>244</v>
      </c>
      <c r="B5" s="74"/>
      <c r="C5" s="74"/>
      <c r="D5" s="74"/>
      <c r="E5" s="74"/>
      <c r="F5" s="74"/>
      <c r="G5" s="74"/>
      <c r="H5" s="74"/>
    </row>
    <row r="6" spans="1:8" ht="15.75" x14ac:dyDescent="0.25">
      <c r="A6" s="6"/>
      <c r="B6" s="74"/>
      <c r="C6" s="74"/>
      <c r="D6" s="74"/>
      <c r="E6" s="74"/>
      <c r="F6" s="74"/>
      <c r="G6" s="74"/>
      <c r="H6" s="74"/>
    </row>
    <row r="7" spans="1:8" ht="15.75" x14ac:dyDescent="0.25">
      <c r="A7" s="7" t="s">
        <v>232</v>
      </c>
      <c r="B7" s="2"/>
      <c r="C7" s="4"/>
      <c r="D7" s="74"/>
      <c r="E7" s="74"/>
      <c r="F7" s="74"/>
      <c r="G7" s="74"/>
      <c r="H7" s="74">
        <f>COUNTIFS(Data!A2:$A$65471,"&gt;=8/10/2015", Data!A2:$A$65471,"&lt;=12/18/2015", Data!D2:$D$65471, "LEE")</f>
        <v>130</v>
      </c>
    </row>
    <row r="8" spans="1:8" ht="15.75" x14ac:dyDescent="0.25">
      <c r="A8" s="7" t="s">
        <v>234</v>
      </c>
      <c r="B8" s="2"/>
      <c r="C8" s="4"/>
      <c r="D8" s="74"/>
      <c r="E8" s="74"/>
      <c r="F8" s="74"/>
      <c r="G8" s="74"/>
      <c r="H8" s="74">
        <f>SUMIFS(Data!H2:$H$65471, Data!A2:$A$65471,"&gt;=8/10/2015", Data!A2:$A$65471,"&lt;=12/18/2015", Data!D2:$D$65471, "LEE")</f>
        <v>2873</v>
      </c>
    </row>
    <row r="9" spans="1:8" ht="15.75" x14ac:dyDescent="0.25">
      <c r="A9" s="6"/>
      <c r="B9" s="74"/>
      <c r="C9" s="74"/>
      <c r="D9" s="74"/>
      <c r="E9" s="74"/>
      <c r="F9" s="74"/>
      <c r="G9" s="74"/>
      <c r="H9" s="74"/>
    </row>
    <row r="10" spans="1:8" ht="15.75" x14ac:dyDescent="0.25">
      <c r="A10" s="5" t="s">
        <v>9</v>
      </c>
      <c r="B10" s="74"/>
      <c r="C10" s="74"/>
      <c r="D10" s="74"/>
      <c r="E10" s="74"/>
      <c r="F10" s="74"/>
      <c r="G10" s="74"/>
      <c r="H10" s="74"/>
    </row>
    <row r="11" spans="1:8" ht="15.75" x14ac:dyDescent="0.25">
      <c r="A11" s="6"/>
      <c r="B11" s="74"/>
      <c r="C11" s="74"/>
      <c r="D11" s="74"/>
      <c r="E11" s="74"/>
      <c r="F11" s="74"/>
      <c r="G11" s="74"/>
      <c r="H11" s="74"/>
    </row>
    <row r="12" spans="1:8" ht="15.75" x14ac:dyDescent="0.25">
      <c r="A12" s="7" t="s">
        <v>232</v>
      </c>
      <c r="B12" s="2"/>
      <c r="C12" s="4"/>
      <c r="D12" s="74"/>
      <c r="E12" s="74"/>
      <c r="F12" s="74"/>
      <c r="G12" s="74"/>
      <c r="H12" s="74">
        <f>COUNTIFS(Data!A2:$A$65471,"&gt;=8/10/2015", Data!A2:$A$65471,"&lt;=12/18/2015", Data!D2:$D$65471, "CHARLOTTE")</f>
        <v>32</v>
      </c>
    </row>
    <row r="13" spans="1:8" ht="15.75" x14ac:dyDescent="0.25">
      <c r="A13" s="7" t="s">
        <v>234</v>
      </c>
      <c r="B13" s="2"/>
      <c r="C13" s="4"/>
      <c r="D13" s="74"/>
      <c r="E13" s="74"/>
      <c r="F13" s="74"/>
      <c r="G13" s="74"/>
      <c r="H13" s="74">
        <f>SUMIFS(Data!H2:$H$65471, Data!A2:$A$65471,"&gt;=8/10/2015", Data!A2:$A$65471,"&lt;=12/18/2015", Data!D2:$D$65471, "CHARLOTTE")</f>
        <v>526</v>
      </c>
    </row>
    <row r="14" spans="1:8" ht="15.75" x14ac:dyDescent="0.25">
      <c r="A14" s="6"/>
      <c r="B14" s="74"/>
      <c r="C14" s="74"/>
      <c r="D14" s="74"/>
      <c r="E14" s="74"/>
      <c r="F14" s="74"/>
      <c r="G14" s="74"/>
      <c r="H14" s="74"/>
    </row>
    <row r="15" spans="1:8" ht="15.75" x14ac:dyDescent="0.25">
      <c r="A15" s="5" t="s">
        <v>10</v>
      </c>
      <c r="B15" s="74"/>
      <c r="C15" s="74"/>
      <c r="D15" s="74"/>
      <c r="E15" s="74"/>
      <c r="F15" s="74"/>
      <c r="G15" s="74"/>
      <c r="H15" s="74"/>
    </row>
    <row r="16" spans="1:8" ht="15.75" x14ac:dyDescent="0.25">
      <c r="A16" s="6"/>
      <c r="B16" s="74"/>
      <c r="C16" s="74"/>
      <c r="D16" s="74"/>
      <c r="E16" s="74"/>
      <c r="F16" s="74"/>
      <c r="G16" s="74"/>
      <c r="H16" s="74"/>
    </row>
    <row r="17" spans="1:8" ht="15.75" x14ac:dyDescent="0.25">
      <c r="A17" s="7" t="s">
        <v>232</v>
      </c>
      <c r="B17" s="2"/>
      <c r="C17" s="4"/>
      <c r="D17" s="74"/>
      <c r="E17" s="74"/>
      <c r="F17" s="74"/>
      <c r="G17" s="74"/>
      <c r="H17" s="74">
        <f>COUNTIFS(Data!A2:$A$65471,"&gt;=8/10/2015", Data!A2:$A$65471,"&lt;=12/18/2015", Data!D2:$D$65471, "COLLIER")</f>
        <v>41</v>
      </c>
    </row>
    <row r="18" spans="1:8" ht="15.75" x14ac:dyDescent="0.25">
      <c r="A18" s="7" t="s">
        <v>234</v>
      </c>
      <c r="B18" s="2"/>
      <c r="C18" s="4"/>
      <c r="D18" s="74"/>
      <c r="E18" s="74"/>
      <c r="F18" s="74"/>
      <c r="G18" s="74"/>
      <c r="H18" s="74">
        <f>SUMIFS(Data!H2:$H$65471, Data!A2:$A$65471,"&gt;=8/10/2015", Data!A2:$A$65471,"&lt;=12/18/2015", Data!D2:$D$65471, "COLLIER")</f>
        <v>926</v>
      </c>
    </row>
    <row r="19" spans="1:8" ht="15.75" x14ac:dyDescent="0.25">
      <c r="A19" s="6"/>
      <c r="B19" s="74"/>
      <c r="C19" s="74"/>
      <c r="D19" s="74"/>
      <c r="E19" s="74"/>
      <c r="F19" s="74"/>
      <c r="G19" s="74"/>
      <c r="H19" s="74"/>
    </row>
    <row r="20" spans="1:8" ht="15.75" x14ac:dyDescent="0.25">
      <c r="A20" s="5" t="s">
        <v>11</v>
      </c>
      <c r="B20" s="74"/>
      <c r="C20" s="74"/>
      <c r="D20" s="74"/>
      <c r="E20" s="74"/>
      <c r="F20" s="74"/>
      <c r="G20" s="74"/>
      <c r="H20" s="74"/>
    </row>
    <row r="21" spans="1:8" ht="15.75" x14ac:dyDescent="0.25">
      <c r="A21" s="6"/>
      <c r="B21" s="74"/>
      <c r="C21" s="74"/>
      <c r="D21" s="74"/>
      <c r="E21" s="74"/>
      <c r="F21" s="74"/>
      <c r="G21" s="74"/>
      <c r="H21" s="74"/>
    </row>
    <row r="22" spans="1:8" ht="15.75" x14ac:dyDescent="0.25">
      <c r="A22" s="7" t="s">
        <v>232</v>
      </c>
      <c r="B22" s="2"/>
      <c r="C22" s="4"/>
      <c r="D22" s="74"/>
      <c r="E22" s="74"/>
      <c r="F22" s="74"/>
      <c r="G22" s="74"/>
      <c r="H22" s="74">
        <f>COUNTIFS(Data!A2:$A$65471,"&gt;=8/10/2015", Data!A2:$A$65471,"&lt;=12/18/2015", Data!D2:$D$65471, "HENDRY/GLADES")</f>
        <v>1</v>
      </c>
    </row>
    <row r="23" spans="1:8" ht="15.75" x14ac:dyDescent="0.25">
      <c r="A23" s="7" t="s">
        <v>234</v>
      </c>
      <c r="B23" s="2"/>
      <c r="C23" s="4"/>
      <c r="D23" s="74"/>
      <c r="E23" s="74"/>
      <c r="F23" s="74"/>
      <c r="G23" s="74"/>
      <c r="H23" s="74">
        <f>SUMIFS(Data!H2:$H$65471, Data!A2:$A$65471,"&gt;=8/10/2015", Data!A2:$A$65471,"&lt;=12/18/2015", Data!D2:$D$65471, "HENDRY/GLADES")</f>
        <v>6</v>
      </c>
    </row>
    <row r="25" spans="1:8" ht="15.75" x14ac:dyDescent="0.25">
      <c r="A25" s="124" t="s">
        <v>225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232</v>
      </c>
      <c r="B27" s="128"/>
      <c r="C27" s="129"/>
      <c r="D27" s="125"/>
      <c r="E27" s="125"/>
      <c r="F27" s="125"/>
      <c r="G27" s="125"/>
      <c r="H27" s="125">
        <f>SUM(H7,H12,H17,H22)</f>
        <v>204</v>
      </c>
    </row>
    <row r="28" spans="1:8" ht="15.75" x14ac:dyDescent="0.25">
      <c r="A28" s="127" t="s">
        <v>234</v>
      </c>
      <c r="B28" s="128"/>
      <c r="C28" s="129"/>
      <c r="D28" s="125"/>
      <c r="E28" s="125"/>
      <c r="F28" s="125"/>
      <c r="G28" s="125"/>
      <c r="H28" s="125">
        <f>SUM(H8,H13,H18,H23)</f>
        <v>4331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13" sqref="A13"/>
    </sheetView>
  </sheetViews>
  <sheetFormatPr defaultRowHeight="15" x14ac:dyDescent="0.25"/>
  <cols>
    <col min="1" max="16384" width="9.140625" style="74"/>
  </cols>
  <sheetData>
    <row r="1" spans="1:8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6.25" x14ac:dyDescent="0.4">
      <c r="A2" s="132" t="s">
        <v>223</v>
      </c>
      <c r="B2" s="132"/>
      <c r="C2" s="132"/>
      <c r="D2" s="132"/>
      <c r="E2" s="132"/>
      <c r="F2" s="132"/>
      <c r="G2" s="132"/>
      <c r="H2" s="132"/>
    </row>
    <row r="3" spans="1:8" ht="18.75" x14ac:dyDescent="0.3">
      <c r="A3" s="133" t="s">
        <v>226</v>
      </c>
      <c r="B3" s="133"/>
      <c r="C3" s="133"/>
      <c r="D3" s="133"/>
      <c r="E3" s="133"/>
      <c r="F3" s="133"/>
      <c r="G3" s="133"/>
      <c r="H3" s="133"/>
    </row>
    <row r="5" spans="1:8" ht="15.75" x14ac:dyDescent="0.25">
      <c r="A5" s="5" t="s">
        <v>244</v>
      </c>
    </row>
    <row r="6" spans="1:8" ht="15.75" x14ac:dyDescent="0.25">
      <c r="A6" s="6"/>
    </row>
    <row r="7" spans="1:8" ht="15.75" x14ac:dyDescent="0.25">
      <c r="A7" s="7" t="s">
        <v>236</v>
      </c>
      <c r="B7" s="2"/>
      <c r="C7" s="4"/>
      <c r="H7" s="74">
        <f>COUNTIFS(Data!A2:$A$65471,"&gt;=1/4/2016", Data!A2:$A$65471,"&lt;=5/6/2016", Data!D2:$D$65471, "LEE")</f>
        <v>105</v>
      </c>
    </row>
    <row r="8" spans="1:8" ht="15.75" x14ac:dyDescent="0.25">
      <c r="A8" s="7" t="s">
        <v>235</v>
      </c>
      <c r="B8" s="2"/>
      <c r="C8" s="4"/>
      <c r="H8" s="74">
        <f>SUMIFS(Data!H2:$H$65471, Data!A2:$A$65471,"&gt;=1/4/2016", Data!A2:$A$65471,"&lt;=5/6/2016", Data!D2:$D$65471, "LEE")</f>
        <v>2119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237</v>
      </c>
      <c r="B12" s="2"/>
      <c r="C12" s="4"/>
      <c r="H12" s="74">
        <f>COUNTIFS(Data!A2:$A$65471,"&gt;=1/4/2016", Data!A2:$A$65471,"&lt;=5/6/2016", Data!D2:$D$65471, "CHARLOTTE")</f>
        <v>21</v>
      </c>
    </row>
    <row r="13" spans="1:8" ht="15.75" x14ac:dyDescent="0.25">
      <c r="A13" s="7" t="s">
        <v>235</v>
      </c>
      <c r="B13" s="2"/>
      <c r="C13" s="4"/>
      <c r="H13" s="74">
        <f>SUMIFS(Data!H2:$H$65471, Data!A2:$A$65471,"&gt;=1/4/2016", Data!A2:$A$65471,"&lt;=5/6/2016", Data!D2:$D$65471, "CHARLOTTE")</f>
        <v>283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237</v>
      </c>
      <c r="B17" s="2"/>
      <c r="C17" s="4"/>
      <c r="H17" s="74">
        <f>COUNTIFS(Data!A2:$A$65471,"&gt;=1/4/2016", Data!A2:$A$65471,"&lt;=5/6/2016", Data!D2:$D$65471, "COLLIER")</f>
        <v>30</v>
      </c>
    </row>
    <row r="18" spans="1:8" ht="15.75" x14ac:dyDescent="0.25">
      <c r="A18" s="7" t="s">
        <v>235</v>
      </c>
      <c r="B18" s="2"/>
      <c r="C18" s="4"/>
      <c r="H18" s="74">
        <f>SUMIFS(Data!H2:$H$65471, Data!A2:$A$65471,"&gt;=1/4/2016", Data!A2:$A$65471,"&lt;=5/6/2016", Data!D2:$D$65471, "COLLIER")</f>
        <v>595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237</v>
      </c>
      <c r="B22" s="2"/>
      <c r="C22" s="4"/>
      <c r="H22" s="74">
        <f>COUNTIFS(Data!A2:$A$65471,"&gt;=1/4/2016", Data!A2:$A$65471,"&lt;=5/6/2016", Data!D2:$D$65471, "HENDRY/GLADES")</f>
        <v>3</v>
      </c>
    </row>
    <row r="23" spans="1:8" ht="15.75" x14ac:dyDescent="0.25">
      <c r="A23" s="7" t="s">
        <v>235</v>
      </c>
      <c r="B23" s="2"/>
      <c r="C23" s="4"/>
      <c r="H23" s="74">
        <f>SUMIFS(Data!H2:$H$65471, Data!A2:$A$65471,"&gt;=1/4/2016", Data!A2:$A$65471,"&lt;=5/6/2016", Data!D2:$D$65471, "HENDRY/GLADES")</f>
        <v>13</v>
      </c>
    </row>
    <row r="25" spans="1:8" ht="15.75" x14ac:dyDescent="0.25">
      <c r="A25" s="124" t="s">
        <v>225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236</v>
      </c>
      <c r="B27" s="128"/>
      <c r="C27" s="129"/>
      <c r="D27" s="125"/>
      <c r="E27" s="125"/>
      <c r="F27" s="125"/>
      <c r="G27" s="125"/>
      <c r="H27" s="125">
        <f>SUM(H7,H12,H17,H22)</f>
        <v>159</v>
      </c>
    </row>
    <row r="28" spans="1:8" ht="15.75" x14ac:dyDescent="0.25">
      <c r="A28" s="127" t="s">
        <v>235</v>
      </c>
      <c r="B28" s="128"/>
      <c r="C28" s="129"/>
      <c r="D28" s="125"/>
      <c r="E28" s="125"/>
      <c r="F28" s="125"/>
      <c r="G28" s="125"/>
      <c r="H28" s="125">
        <f>SUM(H8,H13,H18,H23)</f>
        <v>3010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5" sqref="A5"/>
    </sheetView>
  </sheetViews>
  <sheetFormatPr defaultRowHeight="15" x14ac:dyDescent="0.25"/>
  <cols>
    <col min="1" max="16384" width="9.140625" style="74"/>
  </cols>
  <sheetData>
    <row r="1" spans="1:8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6.25" x14ac:dyDescent="0.4">
      <c r="A2" s="132" t="s">
        <v>224</v>
      </c>
      <c r="B2" s="132"/>
      <c r="C2" s="132"/>
      <c r="D2" s="132"/>
      <c r="E2" s="132"/>
      <c r="F2" s="132"/>
      <c r="G2" s="132"/>
      <c r="H2" s="132"/>
    </row>
    <row r="3" spans="1:8" ht="18.75" x14ac:dyDescent="0.3">
      <c r="A3" s="133" t="s">
        <v>227</v>
      </c>
      <c r="B3" s="133"/>
      <c r="C3" s="133"/>
      <c r="D3" s="133"/>
      <c r="E3" s="133"/>
      <c r="F3" s="133"/>
      <c r="G3" s="133"/>
      <c r="H3" s="133"/>
    </row>
    <row r="5" spans="1:8" ht="15.75" x14ac:dyDescent="0.25">
      <c r="A5" s="5" t="s">
        <v>244</v>
      </c>
    </row>
    <row r="6" spans="1:8" ht="15.75" x14ac:dyDescent="0.25">
      <c r="A6" s="6"/>
    </row>
    <row r="7" spans="1:8" ht="15.75" x14ac:dyDescent="0.25">
      <c r="A7" s="7" t="s">
        <v>238</v>
      </c>
      <c r="B7" s="2"/>
      <c r="C7" s="4"/>
      <c r="H7" s="74">
        <f>COUNTIFS(Data!A2:$A$65471,"&gt;=5/7/2016", Data!A2:$A$65471,"&lt;=8/8/2016", Data!D2:$D$65471, "LEE")</f>
        <v>23</v>
      </c>
    </row>
    <row r="8" spans="1:8" ht="15.75" x14ac:dyDescent="0.25">
      <c r="A8" s="7" t="s">
        <v>239</v>
      </c>
      <c r="B8" s="2"/>
      <c r="C8" s="4"/>
      <c r="H8" s="74">
        <f>SUMIFS(Data!H2:$H$65471, Data!A2:$A$65471,"&gt;=5/7/2016", Data!A2:$A$65471,"&lt;=8/8/2016", Data!D2:$D$65471, "LEE")</f>
        <v>372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240</v>
      </c>
      <c r="B12" s="2"/>
      <c r="C12" s="4"/>
      <c r="H12" s="74">
        <f>COUNTIFS(Data!A2:$A$65471,"&gt;=5/7/2016", Data!A2:$A$65471,"&lt;=8/8/2016", Data!D2:$D$65471, "CHARLOTTE")</f>
        <v>10</v>
      </c>
    </row>
    <row r="13" spans="1:8" ht="15.75" x14ac:dyDescent="0.25">
      <c r="A13" s="7" t="s">
        <v>239</v>
      </c>
      <c r="B13" s="2"/>
      <c r="C13" s="4"/>
      <c r="H13" s="74">
        <f>SUMIFS(Data!H2:$H$65471, Data!A2:$A$65471,"&gt;=5/7/2016", Data!A2:$A$65471,"&lt;=8/8/2016", Data!D2:$D$65471, "CHARLOTTE")</f>
        <v>134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240</v>
      </c>
      <c r="B17" s="2"/>
      <c r="C17" s="4"/>
      <c r="H17" s="74">
        <f>COUNTIFS(Data!A2:$A$65471,"&gt;=5/7/2016", Data!A2:$A$65471,"&lt;=8/8/2016", Data!D2:$D$65471, "COLLIER")</f>
        <v>10</v>
      </c>
    </row>
    <row r="18" spans="1:8" ht="15.75" x14ac:dyDescent="0.25">
      <c r="A18" s="7" t="s">
        <v>239</v>
      </c>
      <c r="B18" s="2"/>
      <c r="C18" s="4"/>
      <c r="H18" s="74">
        <f>SUMIFS(Data!H2:$H$65471, Data!A2:$A$65471,"&gt;=5/7/2016", Data!A2:$A$65471,"&lt;=8/8/2016", Data!D2:$D$65471, "COLLIER")</f>
        <v>172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240</v>
      </c>
      <c r="B22" s="2"/>
      <c r="C22" s="4"/>
      <c r="H22" s="74">
        <f>COUNTIFS(Data!A2:$A$65471,"&gt;=5/7/2016", Data!A2:$A$65471,"&lt;=8/8/2016", Data!D2:$D$65471, "HENDRY/GLADES")</f>
        <v>0</v>
      </c>
    </row>
    <row r="23" spans="1:8" ht="15.75" x14ac:dyDescent="0.25">
      <c r="A23" s="7" t="s">
        <v>239</v>
      </c>
      <c r="B23" s="2"/>
      <c r="C23" s="4"/>
      <c r="H23" s="74">
        <f>SUMIFS(Data!H2:$H$65471, Data!A2:$A$65471,"&gt;=5/7/2016", Data!A2:$A$65471,"&lt;=8/8/2016", Data!D2:$D$65471, "HENDRY/GLADES")</f>
        <v>0</v>
      </c>
    </row>
    <row r="25" spans="1:8" ht="15.75" x14ac:dyDescent="0.25">
      <c r="A25" s="124" t="s">
        <v>225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238</v>
      </c>
      <c r="B27" s="128"/>
      <c r="C27" s="129"/>
      <c r="D27" s="125"/>
      <c r="E27" s="125"/>
      <c r="F27" s="125"/>
      <c r="G27" s="125"/>
      <c r="H27" s="125">
        <f>SUM(H7,H12,H17,H22)</f>
        <v>43</v>
      </c>
    </row>
    <row r="28" spans="1:8" ht="15.75" x14ac:dyDescent="0.25">
      <c r="A28" s="127" t="s">
        <v>239</v>
      </c>
      <c r="B28" s="128"/>
      <c r="C28" s="129"/>
      <c r="D28" s="125"/>
      <c r="E28" s="125"/>
      <c r="F28" s="125"/>
      <c r="G28" s="125"/>
      <c r="H28" s="125">
        <f>SUM(H8,H13,H18,H23)</f>
        <v>678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3" sqref="A3:H3"/>
    </sheetView>
  </sheetViews>
  <sheetFormatPr defaultRowHeight="15" x14ac:dyDescent="0.25"/>
  <cols>
    <col min="1" max="16384" width="9.140625" style="74"/>
  </cols>
  <sheetData>
    <row r="1" spans="1:8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6.25" x14ac:dyDescent="0.4">
      <c r="A2" s="132" t="s">
        <v>246</v>
      </c>
      <c r="B2" s="132"/>
      <c r="C2" s="132"/>
      <c r="D2" s="132"/>
      <c r="E2" s="132"/>
      <c r="F2" s="132"/>
      <c r="G2" s="132"/>
      <c r="H2" s="132"/>
    </row>
    <row r="3" spans="1:8" ht="18.75" x14ac:dyDescent="0.3">
      <c r="A3" s="133" t="s">
        <v>228</v>
      </c>
      <c r="B3" s="133"/>
      <c r="C3" s="133"/>
      <c r="D3" s="133"/>
      <c r="E3" s="133"/>
      <c r="F3" s="133"/>
      <c r="G3" s="133"/>
      <c r="H3" s="133"/>
    </row>
    <row r="5" spans="1:8" ht="15.75" x14ac:dyDescent="0.25">
      <c r="A5" s="5" t="s">
        <v>244</v>
      </c>
    </row>
    <row r="6" spans="1:8" ht="15.75" x14ac:dyDescent="0.25">
      <c r="A6" s="6"/>
    </row>
    <row r="7" spans="1:8" ht="15.75" x14ac:dyDescent="0.25">
      <c r="A7" s="7" t="s">
        <v>241</v>
      </c>
      <c r="B7" s="2"/>
      <c r="C7" s="4"/>
      <c r="H7" s="74">
        <f>COUNTIFS(Data!A2:$A$65471,"&gt;=8/10/2015", Data!A2:$A$65471,"&lt;=8/8/2016", Data!D2:$D$65471, "LEE")</f>
        <v>258</v>
      </c>
    </row>
    <row r="8" spans="1:8" ht="15.75" x14ac:dyDescent="0.25">
      <c r="A8" s="7" t="s">
        <v>242</v>
      </c>
      <c r="B8" s="2"/>
      <c r="C8" s="4"/>
      <c r="H8" s="74">
        <f>SUMIFS(Data!H2:$H$65471, Data!A2:$A$65471,"&gt;=8/10/2015", Data!A2:$A$65471,"&lt;=8/8/2016", Data!D2:$D$65471, "LEE")</f>
        <v>5364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243</v>
      </c>
      <c r="B12" s="2"/>
      <c r="C12" s="4"/>
      <c r="H12" s="74">
        <f>COUNTIFS(Data!A2:$A$65471,"&gt;=8/10/2015", Data!A2:$A$65471,"&lt;=8/8/2016", Data!D2:$D$65471, "CHARLOTTE")</f>
        <v>63</v>
      </c>
    </row>
    <row r="13" spans="1:8" ht="15.75" x14ac:dyDescent="0.25">
      <c r="A13" s="7" t="s">
        <v>242</v>
      </c>
      <c r="B13" s="2"/>
      <c r="C13" s="4"/>
      <c r="H13" s="74">
        <f>SUMIFS(Data!H2:$H$65471, Data!A2:$A$65471,"&gt;=8/10/2015", Data!A2:$A$65471,"&lt;=8/8/2016", Data!D2:$D$65471, "CHARLOTTE")</f>
        <v>943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243</v>
      </c>
      <c r="B17" s="2"/>
      <c r="C17" s="4"/>
      <c r="H17" s="74">
        <f>COUNTIFS(Data!A2:$A$65471,"&gt;=8/10/2015", Data!A2:$A$65471,"&lt;=8/8/2016", Data!D2:$D$65471, "COLLIER")</f>
        <v>81</v>
      </c>
    </row>
    <row r="18" spans="1:8" ht="15.75" x14ac:dyDescent="0.25">
      <c r="A18" s="7" t="s">
        <v>242</v>
      </c>
      <c r="B18" s="2"/>
      <c r="C18" s="4"/>
      <c r="H18" s="74">
        <f>SUMIFS(Data!H2:$H$65471, Data!A2:$A$65471,"&gt;=8/10/2015", Data!A2:$A$65471,"&lt;=8/8/2016", Data!D2:$D$65471, "COLLIER")</f>
        <v>1693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243</v>
      </c>
      <c r="B22" s="2"/>
      <c r="C22" s="4"/>
      <c r="H22" s="74">
        <f>COUNTIFS(Data!A2:$A$65471,"&gt;=8/10/2015", Data!A2:$A$65471,"&lt;=8/8/2016", Data!D2:$D$65471, "HENDRY/GLADES")</f>
        <v>4</v>
      </c>
    </row>
    <row r="23" spans="1:8" ht="15.75" x14ac:dyDescent="0.25">
      <c r="A23" s="7" t="s">
        <v>242</v>
      </c>
      <c r="B23" s="2"/>
      <c r="C23" s="4"/>
      <c r="H23" s="74">
        <f>SUMIFS(Data!H2:$H$65471, Data!A2:$A$65471,"&gt;=8/10/2015", Data!A2:$A$65471,"&lt;=8/8/2016", Data!D2:$D$65471, "HENDRY/GLADES")</f>
        <v>19</v>
      </c>
    </row>
    <row r="25" spans="1:8" ht="15.75" x14ac:dyDescent="0.25">
      <c r="A25" s="124" t="s">
        <v>225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241</v>
      </c>
      <c r="B27" s="128"/>
      <c r="C27" s="129"/>
      <c r="D27" s="125"/>
      <c r="E27" s="125"/>
      <c r="F27" s="125"/>
      <c r="G27" s="125"/>
      <c r="H27" s="125">
        <f>SUM(H7,H12,H17,H22)</f>
        <v>406</v>
      </c>
    </row>
    <row r="28" spans="1:8" ht="15.75" x14ac:dyDescent="0.25">
      <c r="A28" s="127" t="s">
        <v>242</v>
      </c>
      <c r="B28" s="128"/>
      <c r="C28" s="129"/>
      <c r="D28" s="125"/>
      <c r="E28" s="125"/>
      <c r="F28" s="125"/>
      <c r="G28" s="125"/>
      <c r="H28" s="125">
        <f>SUM(H8,H13,H18,H23)</f>
        <v>8019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Data</vt:lpstr>
      <vt:lpstr>Fiscal Year 2015-2016</vt:lpstr>
      <vt:lpstr>Fall 2015</vt:lpstr>
      <vt:lpstr>Spring 2016</vt:lpstr>
      <vt:lpstr>Summer 2016</vt:lpstr>
      <vt:lpstr>Academic Year 2015-2016</vt:lpstr>
      <vt:lpstr>'Academic Year 2015-2016'!Print_Area</vt:lpstr>
      <vt:lpstr>'Fall 2015'!Print_Area</vt:lpstr>
      <vt:lpstr>'Fiscal Year 2015-2016'!Print_Area</vt:lpstr>
      <vt:lpstr>'Spring 2016'!Print_Area</vt:lpstr>
      <vt:lpstr>'Summer 2016'!Print_Area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2016-08-26T17:06:34Z</cp:lastPrinted>
  <dcterms:created xsi:type="dcterms:W3CDTF">2013-11-05T15:42:05Z</dcterms:created>
  <dcterms:modified xsi:type="dcterms:W3CDTF">2016-08-30T11:37:04Z</dcterms:modified>
</cp:coreProperties>
</file>